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christi\Desktop\Secondary Toolkit October 2015\Main Product Resources\Example Report Outputs\"/>
    </mc:Choice>
  </mc:AlternateContent>
  <bookViews>
    <workbookView xWindow="0" yWindow="0" windowWidth="24000" windowHeight="9645"/>
  </bookViews>
  <sheets>
    <sheet name="analysis" sheetId="4" r:id="rId1"/>
    <sheet name="workings" sheetId="3" state="hidden" r:id="rId2"/>
    <sheet name="student data" sheetId="2" r:id="rId3"/>
  </sheets>
  <definedNames>
    <definedName name="_xlnm._FilterDatabase" localSheetId="2" hidden="1">'student data'!$V$2:$V$60</definedName>
    <definedName name="Attainment_8_grades">workings!$E$10:$F$34</definedName>
    <definedName name="DOA" localSheetId="0">'student data'!$C$1:$C$65536</definedName>
    <definedName name="DOA" localSheetId="1">'student data'!$C:$C</definedName>
    <definedName name="DOA">'student data'!$C:$C</definedName>
    <definedName name="EAL" localSheetId="0">'student data'!$H$1:$H$65536</definedName>
    <definedName name="EAL" localSheetId="1">'student data'!$H:$H</definedName>
    <definedName name="EAL">'student data'!$H:$H</definedName>
    <definedName name="Ethnicity" localSheetId="0">'student data'!$J$1:$J$65536</definedName>
    <definedName name="Ethnicity" localSheetId="1">'student data'!$J:$J</definedName>
    <definedName name="Ethnicity">'student data'!$J:$J</definedName>
    <definedName name="_xlnm.Extract" localSheetId="2">'student data'!$V:$V</definedName>
    <definedName name="EyMyAtoCn">'student data'!#REF!</definedName>
    <definedName name="FSM_6" localSheetId="0">'student data'!$L$1:$L$65536</definedName>
    <definedName name="FSM_6" localSheetId="1">'student data'!$L:$L</definedName>
    <definedName name="FSM_6">'student data'!$L:$L</definedName>
    <definedName name="GCSEGrade_Converter">workings!$P$10:$Q$34</definedName>
    <definedName name="Gender" localSheetId="0">'student data'!$B$1:$B$65536</definedName>
    <definedName name="Gender" localSheetId="1">'student data'!$B:$B</definedName>
    <definedName name="Gender">'student data'!$B:$B</definedName>
    <definedName name="Grade_Equivs">workings!$L$9:$M$26</definedName>
    <definedName name="InCare" localSheetId="0">'student data'!$I$1:$I$65536</definedName>
    <definedName name="InCare" localSheetId="1">'student data'!$I:$I</definedName>
    <definedName name="InCare">'student data'!$I:$I</definedName>
    <definedName name="KS2_APS" localSheetId="0">'student data'!$N$1:$N$65536</definedName>
    <definedName name="KS2_APS" localSheetId="1">'student data'!$N:$N</definedName>
    <definedName name="KS2_APS">'student data'!$N:$N</definedName>
    <definedName name="measure" localSheetId="0">'student data'!$O$1:$O$65536</definedName>
    <definedName name="measure" localSheetId="1">'student data'!$O:$O</definedName>
    <definedName name="measure">'student data'!$O:$O</definedName>
    <definedName name="Names" localSheetId="0">'student data'!$A:$A</definedName>
    <definedName name="Names" localSheetId="1">'student data'!$A:$A</definedName>
    <definedName name="Names">'student data'!$A:$A</definedName>
    <definedName name="New_Result_set" localSheetId="0">workings!$B$1:$B$65536</definedName>
    <definedName name="New_Result_set" localSheetId="1">workings!$B:$B</definedName>
    <definedName name="New_Result_set">workings!#REF!</definedName>
    <definedName name="newlist" localSheetId="0">workings!$A$1:$A$65536</definedName>
    <definedName name="newlist" localSheetId="1">workings!$A:$A</definedName>
    <definedName name="newlist">workings!#REF!</definedName>
    <definedName name="Prior_attainment" localSheetId="0">'student data'!$R$1:$R$65536</definedName>
    <definedName name="Prior_attainment" localSheetId="1">'student data'!$R:$R</definedName>
    <definedName name="Prior_attainment">'student data'!$R:$R</definedName>
    <definedName name="Prior_levels">workings!$H$11:$I$14</definedName>
    <definedName name="Pupil_Premium" localSheetId="0">'student data'!$M$1:$M$65536</definedName>
    <definedName name="Pupil_Premium" localSheetId="1">'student data'!$M:$M</definedName>
    <definedName name="Pupil_Premium">'student data'!$M:$M</definedName>
    <definedName name="Result" localSheetId="0">'student data'!$P$1:$P$65536</definedName>
    <definedName name="Result" localSheetId="1">'student data'!$P:$P</definedName>
    <definedName name="Result">'student data'!$P:$P</definedName>
    <definedName name="Result_set" localSheetId="0">'student data'!$Q$1:$Q$65536</definedName>
    <definedName name="Result_set" localSheetId="1">'student data'!$Q:$Q</definedName>
    <definedName name="Result_set">'student data'!$Q:$Q</definedName>
    <definedName name="SEN" localSheetId="0">'student data'!$F$1:$F$65536</definedName>
    <definedName name="SEN" localSheetId="1">'student data'!$F:$F</definedName>
    <definedName name="SEN">'student data'!$F:$F</definedName>
    <definedName name="table" localSheetId="0">'student data'!$1:$1048576</definedName>
    <definedName name="table" localSheetId="1">'student data'!$1:$1048576</definedName>
    <definedName name="table">'student data'!$1:$1048576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" i="2" l="1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R106" i="2"/>
  <c r="R107" i="2"/>
  <c r="R108" i="2"/>
  <c r="R109" i="2"/>
  <c r="R110" i="2"/>
  <c r="R111" i="2"/>
  <c r="R112" i="2"/>
  <c r="R113" i="2"/>
  <c r="R114" i="2"/>
  <c r="R115" i="2"/>
  <c r="R116" i="2"/>
  <c r="R117" i="2"/>
  <c r="R118" i="2"/>
  <c r="R119" i="2"/>
  <c r="R120" i="2"/>
  <c r="R121" i="2"/>
  <c r="R122" i="2"/>
  <c r="R123" i="2"/>
  <c r="R124" i="2"/>
  <c r="R125" i="2"/>
  <c r="R126" i="2"/>
  <c r="R127" i="2"/>
  <c r="R128" i="2"/>
  <c r="R129" i="2"/>
  <c r="R130" i="2"/>
  <c r="R131" i="2"/>
  <c r="R132" i="2"/>
  <c r="R133" i="2"/>
  <c r="R134" i="2"/>
  <c r="R135" i="2"/>
  <c r="R136" i="2"/>
  <c r="R137" i="2"/>
  <c r="R138" i="2"/>
  <c r="R139" i="2"/>
  <c r="R140" i="2"/>
  <c r="R141" i="2"/>
  <c r="R142" i="2"/>
  <c r="R143" i="2"/>
  <c r="R144" i="2"/>
  <c r="R145" i="2"/>
  <c r="R146" i="2"/>
  <c r="R147" i="2"/>
  <c r="R148" i="2"/>
  <c r="R149" i="2"/>
  <c r="R150" i="2"/>
  <c r="R151" i="2"/>
  <c r="R152" i="2"/>
  <c r="R153" i="2"/>
  <c r="R154" i="2"/>
  <c r="R155" i="2"/>
  <c r="R156" i="2"/>
  <c r="R157" i="2"/>
  <c r="R158" i="2"/>
  <c r="R159" i="2"/>
  <c r="R160" i="2"/>
  <c r="R161" i="2"/>
  <c r="R162" i="2"/>
  <c r="R163" i="2"/>
  <c r="R164" i="2"/>
  <c r="R165" i="2"/>
  <c r="R166" i="2"/>
  <c r="R167" i="2"/>
  <c r="R168" i="2"/>
  <c r="R169" i="2"/>
  <c r="R170" i="2"/>
  <c r="R171" i="2"/>
  <c r="R172" i="2"/>
  <c r="R173" i="2"/>
  <c r="R174" i="2"/>
  <c r="R175" i="2"/>
  <c r="R176" i="2"/>
  <c r="R177" i="2"/>
  <c r="R178" i="2"/>
  <c r="R179" i="2"/>
  <c r="R180" i="2"/>
  <c r="R181" i="2"/>
  <c r="R182" i="2"/>
  <c r="R183" i="2"/>
  <c r="R184" i="2"/>
  <c r="R185" i="2"/>
  <c r="R186" i="2"/>
  <c r="R187" i="2"/>
  <c r="R188" i="2"/>
  <c r="R189" i="2"/>
  <c r="R190" i="2"/>
  <c r="R191" i="2"/>
  <c r="R192" i="2"/>
  <c r="R193" i="2"/>
  <c r="R194" i="2"/>
  <c r="R195" i="2"/>
  <c r="R196" i="2"/>
  <c r="R197" i="2"/>
  <c r="R198" i="2"/>
  <c r="R199" i="2"/>
  <c r="R200" i="2"/>
  <c r="R201" i="2"/>
  <c r="R202" i="2"/>
  <c r="R203" i="2"/>
  <c r="R204" i="2"/>
  <c r="R205" i="2"/>
  <c r="R206" i="2"/>
  <c r="R207" i="2"/>
  <c r="R208" i="2"/>
  <c r="R209" i="2"/>
  <c r="R210" i="2"/>
  <c r="R211" i="2"/>
  <c r="R212" i="2"/>
  <c r="R213" i="2"/>
  <c r="R214" i="2"/>
  <c r="R215" i="2"/>
  <c r="R216" i="2"/>
  <c r="R217" i="2"/>
  <c r="R218" i="2"/>
  <c r="R219" i="2"/>
  <c r="R220" i="2"/>
  <c r="R221" i="2"/>
  <c r="R222" i="2"/>
  <c r="R223" i="2"/>
  <c r="R224" i="2"/>
  <c r="R225" i="2"/>
  <c r="R226" i="2"/>
  <c r="R227" i="2"/>
  <c r="R228" i="2"/>
  <c r="R229" i="2"/>
  <c r="R230" i="2"/>
  <c r="R231" i="2"/>
  <c r="R232" i="2"/>
  <c r="R233" i="2"/>
  <c r="R234" i="2"/>
  <c r="R235" i="2"/>
  <c r="R236" i="2"/>
  <c r="R237" i="2"/>
  <c r="R238" i="2"/>
  <c r="R239" i="2"/>
  <c r="R240" i="2"/>
  <c r="R241" i="2"/>
  <c r="R242" i="2"/>
  <c r="R243" i="2"/>
  <c r="R244" i="2"/>
  <c r="R245" i="2"/>
  <c r="R246" i="2"/>
  <c r="R247" i="2"/>
  <c r="R248" i="2"/>
  <c r="R249" i="2"/>
  <c r="R250" i="2"/>
  <c r="R251" i="2"/>
  <c r="R252" i="2"/>
  <c r="R253" i="2"/>
  <c r="R254" i="2"/>
  <c r="R255" i="2"/>
  <c r="R256" i="2"/>
  <c r="R257" i="2"/>
  <c r="R258" i="2"/>
  <c r="R259" i="2"/>
  <c r="R260" i="2"/>
  <c r="R261" i="2"/>
  <c r="R262" i="2"/>
  <c r="R263" i="2"/>
  <c r="R264" i="2"/>
  <c r="R265" i="2"/>
  <c r="R266" i="2"/>
  <c r="R267" i="2"/>
  <c r="R268" i="2"/>
  <c r="R269" i="2"/>
  <c r="R270" i="2"/>
  <c r="R271" i="2"/>
  <c r="R272" i="2"/>
  <c r="R273" i="2"/>
  <c r="R274" i="2"/>
  <c r="R275" i="2"/>
  <c r="R276" i="2"/>
  <c r="R277" i="2"/>
  <c r="R278" i="2"/>
  <c r="R279" i="2"/>
  <c r="R280" i="2"/>
  <c r="R281" i="2"/>
  <c r="R282" i="2"/>
  <c r="R283" i="2"/>
  <c r="R284" i="2"/>
  <c r="R285" i="2"/>
  <c r="R286" i="2"/>
  <c r="R287" i="2"/>
  <c r="R288" i="2"/>
  <c r="R289" i="2"/>
  <c r="R290" i="2"/>
  <c r="R291" i="2"/>
  <c r="R292" i="2"/>
  <c r="R293" i="2"/>
  <c r="R294" i="2"/>
  <c r="R295" i="2"/>
  <c r="R296" i="2"/>
  <c r="R297" i="2"/>
  <c r="R298" i="2"/>
  <c r="R299" i="2"/>
  <c r="R300" i="2"/>
  <c r="R301" i="2"/>
  <c r="R302" i="2"/>
  <c r="R303" i="2"/>
  <c r="R304" i="2"/>
  <c r="R305" i="2"/>
  <c r="R306" i="2"/>
  <c r="R307" i="2"/>
  <c r="R308" i="2"/>
  <c r="R309" i="2"/>
  <c r="R310" i="2"/>
  <c r="R311" i="2"/>
  <c r="R312" i="2"/>
  <c r="R313" i="2"/>
  <c r="R314" i="2"/>
  <c r="R315" i="2"/>
  <c r="R316" i="2"/>
  <c r="R317" i="2"/>
  <c r="R318" i="2"/>
  <c r="R319" i="2"/>
  <c r="R320" i="2"/>
  <c r="R321" i="2"/>
  <c r="R322" i="2"/>
  <c r="R323" i="2"/>
  <c r="R324" i="2"/>
  <c r="R325" i="2"/>
  <c r="R326" i="2"/>
  <c r="R327" i="2"/>
  <c r="R328" i="2"/>
  <c r="R329" i="2"/>
  <c r="R330" i="2"/>
  <c r="R331" i="2"/>
  <c r="R332" i="2"/>
  <c r="R333" i="2"/>
  <c r="R334" i="2"/>
  <c r="R335" i="2"/>
  <c r="R336" i="2"/>
  <c r="R337" i="2"/>
  <c r="R338" i="2"/>
  <c r="R339" i="2"/>
  <c r="R340" i="2"/>
  <c r="R341" i="2"/>
  <c r="R342" i="2"/>
  <c r="R343" i="2"/>
  <c r="R344" i="2"/>
  <c r="R345" i="2"/>
  <c r="R346" i="2"/>
  <c r="R347" i="2"/>
  <c r="R348" i="2"/>
  <c r="R349" i="2"/>
  <c r="R350" i="2"/>
  <c r="R351" i="2"/>
  <c r="R352" i="2"/>
  <c r="R353" i="2"/>
  <c r="R354" i="2"/>
  <c r="R355" i="2"/>
  <c r="R356" i="2"/>
  <c r="R357" i="2"/>
  <c r="R358" i="2"/>
  <c r="R359" i="2"/>
  <c r="R360" i="2"/>
  <c r="R361" i="2"/>
  <c r="R362" i="2"/>
  <c r="R363" i="2"/>
  <c r="R364" i="2"/>
  <c r="R365" i="2"/>
  <c r="R366" i="2"/>
  <c r="R367" i="2"/>
  <c r="R368" i="2"/>
  <c r="R369" i="2"/>
  <c r="R370" i="2"/>
  <c r="R371" i="2"/>
  <c r="R372" i="2"/>
  <c r="R373" i="2"/>
  <c r="R374" i="2"/>
  <c r="R375" i="2"/>
  <c r="R376" i="2"/>
  <c r="R377" i="2"/>
  <c r="R378" i="2"/>
  <c r="R379" i="2"/>
  <c r="R380" i="2"/>
  <c r="R381" i="2"/>
  <c r="R382" i="2"/>
  <c r="R383" i="2"/>
  <c r="R384" i="2"/>
  <c r="R385" i="2"/>
  <c r="R386" i="2"/>
  <c r="R387" i="2"/>
  <c r="R388" i="2"/>
  <c r="R389" i="2"/>
  <c r="R390" i="2"/>
  <c r="R391" i="2"/>
  <c r="R392" i="2"/>
  <c r="R393" i="2"/>
  <c r="R394" i="2"/>
  <c r="R395" i="2"/>
  <c r="R396" i="2"/>
  <c r="R397" i="2"/>
  <c r="R398" i="2"/>
  <c r="R399" i="2"/>
  <c r="R400" i="2"/>
  <c r="R401" i="2"/>
  <c r="R402" i="2"/>
  <c r="R403" i="2"/>
  <c r="R404" i="2"/>
  <c r="R405" i="2"/>
  <c r="R406" i="2"/>
  <c r="R407" i="2"/>
  <c r="R408" i="2"/>
  <c r="R409" i="2"/>
  <c r="R410" i="2"/>
  <c r="R411" i="2"/>
  <c r="R412" i="2"/>
  <c r="R413" i="2"/>
  <c r="R414" i="2"/>
  <c r="R415" i="2"/>
  <c r="R416" i="2"/>
  <c r="R417" i="2"/>
  <c r="R418" i="2"/>
  <c r="R419" i="2"/>
  <c r="R420" i="2"/>
  <c r="R421" i="2"/>
  <c r="R422" i="2"/>
  <c r="R423" i="2"/>
  <c r="R424" i="2"/>
  <c r="R425" i="2"/>
  <c r="R426" i="2"/>
  <c r="R427" i="2"/>
  <c r="R428" i="2"/>
  <c r="R429" i="2"/>
  <c r="R430" i="2"/>
  <c r="R431" i="2"/>
  <c r="R432" i="2"/>
  <c r="R433" i="2"/>
  <c r="R434" i="2"/>
  <c r="R435" i="2"/>
  <c r="R436" i="2"/>
  <c r="R437" i="2"/>
  <c r="R438" i="2"/>
  <c r="R439" i="2"/>
  <c r="R440" i="2"/>
  <c r="R441" i="2"/>
  <c r="R442" i="2"/>
  <c r="R443" i="2"/>
  <c r="R444" i="2"/>
  <c r="R445" i="2"/>
  <c r="R446" i="2"/>
  <c r="R447" i="2"/>
  <c r="R448" i="2"/>
  <c r="R449" i="2"/>
  <c r="R450" i="2"/>
  <c r="R451" i="2"/>
  <c r="R452" i="2"/>
  <c r="R453" i="2"/>
  <c r="R454" i="2"/>
  <c r="R455" i="2"/>
  <c r="R456" i="2"/>
  <c r="R457" i="2"/>
  <c r="R458" i="2"/>
  <c r="R459" i="2"/>
  <c r="R460" i="2"/>
  <c r="R461" i="2"/>
  <c r="R462" i="2"/>
  <c r="R463" i="2"/>
  <c r="R464" i="2"/>
  <c r="R465" i="2"/>
  <c r="R466" i="2"/>
  <c r="R467" i="2"/>
  <c r="R468" i="2"/>
  <c r="R469" i="2"/>
  <c r="R470" i="2"/>
  <c r="R471" i="2"/>
  <c r="R472" i="2"/>
  <c r="R473" i="2"/>
  <c r="R474" i="2"/>
  <c r="R475" i="2"/>
  <c r="R476" i="2"/>
  <c r="R477" i="2"/>
  <c r="R478" i="2"/>
  <c r="R479" i="2"/>
  <c r="R480" i="2"/>
  <c r="R481" i="2"/>
  <c r="R482" i="2"/>
  <c r="R483" i="2"/>
  <c r="R484" i="2"/>
  <c r="R485" i="2"/>
  <c r="R486" i="2"/>
  <c r="R487" i="2"/>
  <c r="R488" i="2"/>
  <c r="R489" i="2"/>
  <c r="R490" i="2"/>
  <c r="R491" i="2"/>
  <c r="R492" i="2"/>
  <c r="R493" i="2"/>
  <c r="R494" i="2"/>
  <c r="R495" i="2"/>
  <c r="R496" i="2"/>
  <c r="R497" i="2"/>
  <c r="R498" i="2"/>
  <c r="R499" i="2"/>
  <c r="R500" i="2"/>
  <c r="R501" i="2"/>
  <c r="R502" i="2"/>
  <c r="R503" i="2"/>
  <c r="R504" i="2"/>
  <c r="R505" i="2"/>
  <c r="R506" i="2"/>
  <c r="R507" i="2"/>
  <c r="R508" i="2"/>
  <c r="R509" i="2"/>
  <c r="R510" i="2"/>
  <c r="R511" i="2"/>
  <c r="R512" i="2"/>
  <c r="R513" i="2"/>
  <c r="R514" i="2"/>
  <c r="R515" i="2"/>
  <c r="R516" i="2"/>
  <c r="R517" i="2"/>
  <c r="R518" i="2"/>
  <c r="R519" i="2"/>
  <c r="R520" i="2"/>
  <c r="R521" i="2"/>
  <c r="R522" i="2"/>
  <c r="R523" i="2"/>
  <c r="R524" i="2"/>
  <c r="R525" i="2"/>
  <c r="R526" i="2"/>
  <c r="R527" i="2"/>
  <c r="R528" i="2"/>
  <c r="R529" i="2"/>
  <c r="R530" i="2"/>
  <c r="R531" i="2"/>
  <c r="R532" i="2"/>
  <c r="R533" i="2"/>
  <c r="R534" i="2"/>
  <c r="R535" i="2"/>
  <c r="R536" i="2"/>
  <c r="R537" i="2"/>
  <c r="R538" i="2"/>
  <c r="R539" i="2"/>
  <c r="R540" i="2"/>
  <c r="R541" i="2"/>
  <c r="R542" i="2"/>
  <c r="R543" i="2"/>
  <c r="R544" i="2"/>
  <c r="R545" i="2"/>
  <c r="R546" i="2"/>
  <c r="R547" i="2"/>
  <c r="R548" i="2"/>
  <c r="R549" i="2"/>
  <c r="R550" i="2"/>
  <c r="R551" i="2"/>
  <c r="R552" i="2"/>
  <c r="R553" i="2"/>
  <c r="R554" i="2"/>
  <c r="R555" i="2"/>
  <c r="R556" i="2"/>
  <c r="R557" i="2"/>
  <c r="R558" i="2"/>
  <c r="R559" i="2"/>
  <c r="R560" i="2"/>
  <c r="R561" i="2"/>
  <c r="R562" i="2"/>
  <c r="R563" i="2"/>
  <c r="R564" i="2"/>
  <c r="R565" i="2"/>
  <c r="R566" i="2"/>
  <c r="R567" i="2"/>
  <c r="R568" i="2"/>
  <c r="R569" i="2"/>
  <c r="R570" i="2"/>
  <c r="R571" i="2"/>
  <c r="R572" i="2"/>
  <c r="R573" i="2"/>
  <c r="R574" i="2"/>
  <c r="R575" i="2"/>
  <c r="R576" i="2"/>
  <c r="R577" i="2"/>
  <c r="R578" i="2"/>
  <c r="R579" i="2"/>
  <c r="R580" i="2"/>
  <c r="R581" i="2"/>
  <c r="R582" i="2"/>
  <c r="R583" i="2"/>
  <c r="R584" i="2"/>
  <c r="R585" i="2"/>
  <c r="R586" i="2"/>
  <c r="R587" i="2"/>
  <c r="R588" i="2"/>
  <c r="R589" i="2"/>
  <c r="R590" i="2"/>
  <c r="R591" i="2"/>
  <c r="R592" i="2"/>
  <c r="R593" i="2"/>
  <c r="R594" i="2"/>
  <c r="R595" i="2"/>
  <c r="R596" i="2"/>
  <c r="R597" i="2"/>
  <c r="R598" i="2"/>
  <c r="R599" i="2"/>
  <c r="R600" i="2"/>
  <c r="R601" i="2"/>
  <c r="R602" i="2"/>
  <c r="R603" i="2"/>
  <c r="R604" i="2"/>
  <c r="R605" i="2"/>
  <c r="R606" i="2"/>
  <c r="R607" i="2"/>
  <c r="R608" i="2"/>
  <c r="R609" i="2"/>
  <c r="R610" i="2"/>
  <c r="R611" i="2"/>
  <c r="R612" i="2"/>
  <c r="R613" i="2"/>
  <c r="R614" i="2"/>
  <c r="R615" i="2"/>
  <c r="R616" i="2"/>
  <c r="R617" i="2"/>
  <c r="R618" i="2"/>
  <c r="R619" i="2"/>
  <c r="R620" i="2"/>
  <c r="R621" i="2"/>
  <c r="R622" i="2"/>
  <c r="R623" i="2"/>
  <c r="R624" i="2"/>
  <c r="R625" i="2"/>
  <c r="R626" i="2"/>
  <c r="R627" i="2"/>
  <c r="R628" i="2"/>
  <c r="R629" i="2"/>
  <c r="R630" i="2"/>
  <c r="R631" i="2"/>
  <c r="R632" i="2"/>
  <c r="R633" i="2"/>
  <c r="R634" i="2"/>
  <c r="R635" i="2"/>
  <c r="R636" i="2"/>
  <c r="R637" i="2"/>
  <c r="R638" i="2"/>
  <c r="R639" i="2"/>
  <c r="R640" i="2"/>
  <c r="R641" i="2"/>
  <c r="R642" i="2"/>
  <c r="R643" i="2"/>
  <c r="R644" i="2"/>
  <c r="R645" i="2"/>
  <c r="R646" i="2"/>
  <c r="R647" i="2"/>
  <c r="R648" i="2"/>
  <c r="R649" i="2"/>
  <c r="R650" i="2"/>
  <c r="R651" i="2"/>
  <c r="R652" i="2"/>
  <c r="R653" i="2"/>
  <c r="R654" i="2"/>
  <c r="R655" i="2"/>
  <c r="R656" i="2"/>
  <c r="R657" i="2"/>
  <c r="R658" i="2"/>
  <c r="R659" i="2"/>
  <c r="R660" i="2"/>
  <c r="R661" i="2"/>
  <c r="R662" i="2"/>
  <c r="R663" i="2"/>
  <c r="R664" i="2"/>
  <c r="R665" i="2"/>
  <c r="R666" i="2"/>
  <c r="R667" i="2"/>
  <c r="R668" i="2"/>
  <c r="R669" i="2"/>
  <c r="R670" i="2"/>
  <c r="R671" i="2"/>
  <c r="R672" i="2"/>
  <c r="R673" i="2"/>
  <c r="R674" i="2"/>
  <c r="R675" i="2"/>
  <c r="R676" i="2"/>
  <c r="R677" i="2"/>
  <c r="R678" i="2"/>
  <c r="R679" i="2"/>
  <c r="R680" i="2"/>
  <c r="R681" i="2"/>
  <c r="R682" i="2"/>
  <c r="R683" i="2"/>
  <c r="R684" i="2"/>
  <c r="R685" i="2"/>
  <c r="R686" i="2"/>
  <c r="R687" i="2"/>
  <c r="R688" i="2"/>
  <c r="R689" i="2"/>
  <c r="R690" i="2"/>
  <c r="R691" i="2"/>
  <c r="R692" i="2"/>
  <c r="R693" i="2"/>
  <c r="R694" i="2"/>
  <c r="R695" i="2"/>
  <c r="R696" i="2"/>
  <c r="R697" i="2"/>
  <c r="R698" i="2"/>
  <c r="R699" i="2"/>
  <c r="R700" i="2"/>
  <c r="R701" i="2"/>
  <c r="R702" i="2"/>
  <c r="R703" i="2"/>
  <c r="R704" i="2"/>
  <c r="R705" i="2"/>
  <c r="R706" i="2"/>
  <c r="R707" i="2"/>
  <c r="R708" i="2"/>
  <c r="R709" i="2"/>
  <c r="R710" i="2"/>
  <c r="R711" i="2"/>
  <c r="R712" i="2"/>
  <c r="R713" i="2"/>
  <c r="R714" i="2"/>
  <c r="R715" i="2"/>
  <c r="R716" i="2"/>
  <c r="R717" i="2"/>
  <c r="R718" i="2"/>
  <c r="R719" i="2"/>
  <c r="R720" i="2"/>
  <c r="R721" i="2"/>
  <c r="R722" i="2"/>
  <c r="R723" i="2"/>
  <c r="R724" i="2"/>
  <c r="R725" i="2"/>
  <c r="R726" i="2"/>
  <c r="R727" i="2"/>
  <c r="R728" i="2"/>
  <c r="R729" i="2"/>
  <c r="R730" i="2"/>
  <c r="R731" i="2"/>
  <c r="R732" i="2"/>
  <c r="R733" i="2"/>
  <c r="R734" i="2"/>
  <c r="R735" i="2"/>
  <c r="R736" i="2"/>
  <c r="R737" i="2"/>
  <c r="R738" i="2"/>
  <c r="R739" i="2"/>
  <c r="R740" i="2"/>
  <c r="R741" i="2"/>
  <c r="R742" i="2"/>
  <c r="R743" i="2"/>
  <c r="R744" i="2"/>
  <c r="R745" i="2"/>
  <c r="R746" i="2"/>
  <c r="R747" i="2"/>
  <c r="R748" i="2"/>
  <c r="R749" i="2"/>
  <c r="R750" i="2"/>
  <c r="R751" i="2"/>
  <c r="R752" i="2"/>
  <c r="R753" i="2"/>
  <c r="R754" i="2"/>
  <c r="R755" i="2"/>
  <c r="R756" i="2"/>
  <c r="R757" i="2"/>
  <c r="R758" i="2"/>
  <c r="R759" i="2"/>
  <c r="R760" i="2"/>
  <c r="R761" i="2"/>
  <c r="R762" i="2"/>
  <c r="R763" i="2"/>
  <c r="R764" i="2"/>
  <c r="R765" i="2"/>
  <c r="R766" i="2"/>
  <c r="R767" i="2"/>
  <c r="R768" i="2"/>
  <c r="R769" i="2"/>
  <c r="R770" i="2"/>
  <c r="R771" i="2"/>
  <c r="R772" i="2"/>
  <c r="R773" i="2"/>
  <c r="R774" i="2"/>
  <c r="R775" i="2"/>
  <c r="R776" i="2"/>
  <c r="R777" i="2"/>
  <c r="R778" i="2"/>
  <c r="R779" i="2"/>
  <c r="R780" i="2"/>
  <c r="R781" i="2"/>
  <c r="R782" i="2"/>
  <c r="R783" i="2"/>
  <c r="R784" i="2"/>
  <c r="R785" i="2"/>
  <c r="R786" i="2"/>
  <c r="R787" i="2"/>
  <c r="R788" i="2"/>
  <c r="R789" i="2"/>
  <c r="R790" i="2"/>
  <c r="R791" i="2"/>
  <c r="R792" i="2"/>
  <c r="R793" i="2"/>
  <c r="R794" i="2"/>
  <c r="R795" i="2"/>
  <c r="R796" i="2"/>
  <c r="R797" i="2"/>
  <c r="R798" i="2"/>
  <c r="R799" i="2"/>
  <c r="R800" i="2"/>
  <c r="R801" i="2"/>
  <c r="R802" i="2"/>
  <c r="R803" i="2"/>
  <c r="R804" i="2"/>
  <c r="R805" i="2"/>
  <c r="R806" i="2"/>
  <c r="R807" i="2"/>
  <c r="R808" i="2"/>
  <c r="R809" i="2"/>
  <c r="R810" i="2"/>
  <c r="R811" i="2"/>
  <c r="R812" i="2"/>
  <c r="R813" i="2"/>
  <c r="R814" i="2"/>
  <c r="R815" i="2"/>
  <c r="R816" i="2"/>
  <c r="R817" i="2"/>
  <c r="R818" i="2"/>
  <c r="R819" i="2"/>
  <c r="R820" i="2"/>
  <c r="R821" i="2"/>
  <c r="R822" i="2"/>
  <c r="R823" i="2"/>
  <c r="R824" i="2"/>
  <c r="R825" i="2"/>
  <c r="R826" i="2"/>
  <c r="R827" i="2"/>
  <c r="R828" i="2"/>
  <c r="R829" i="2"/>
  <c r="R830" i="2"/>
  <c r="R831" i="2"/>
  <c r="R832" i="2"/>
  <c r="R833" i="2"/>
  <c r="R834" i="2"/>
  <c r="R835" i="2"/>
  <c r="R836" i="2"/>
  <c r="R837" i="2"/>
  <c r="R838" i="2"/>
  <c r="R839" i="2"/>
  <c r="R840" i="2"/>
  <c r="R841" i="2"/>
  <c r="R842" i="2"/>
  <c r="R843" i="2"/>
  <c r="R844" i="2"/>
  <c r="R845" i="2"/>
  <c r="R846" i="2"/>
  <c r="R847" i="2"/>
  <c r="R848" i="2"/>
  <c r="R849" i="2"/>
  <c r="R850" i="2"/>
  <c r="R851" i="2"/>
  <c r="R852" i="2"/>
  <c r="R853" i="2"/>
  <c r="R854" i="2"/>
  <c r="R855" i="2"/>
  <c r="R856" i="2"/>
  <c r="R857" i="2"/>
  <c r="R858" i="2"/>
  <c r="R859" i="2"/>
  <c r="R860" i="2"/>
  <c r="R861" i="2"/>
  <c r="R862" i="2"/>
  <c r="R863" i="2"/>
  <c r="R864" i="2"/>
  <c r="R865" i="2"/>
  <c r="R866" i="2"/>
  <c r="R867" i="2"/>
  <c r="R868" i="2"/>
  <c r="R869" i="2"/>
  <c r="R870" i="2"/>
  <c r="R871" i="2"/>
  <c r="R872" i="2"/>
  <c r="R873" i="2"/>
  <c r="R874" i="2"/>
  <c r="R875" i="2"/>
  <c r="R876" i="2"/>
  <c r="R877" i="2"/>
  <c r="R878" i="2"/>
  <c r="R879" i="2"/>
  <c r="R880" i="2"/>
  <c r="R881" i="2"/>
  <c r="R882" i="2"/>
  <c r="R883" i="2"/>
  <c r="R884" i="2"/>
  <c r="R885" i="2"/>
  <c r="R886" i="2"/>
  <c r="R887" i="2"/>
  <c r="R888" i="2"/>
  <c r="R889" i="2"/>
  <c r="R890" i="2"/>
  <c r="R891" i="2"/>
  <c r="R892" i="2"/>
  <c r="R893" i="2"/>
  <c r="R894" i="2"/>
  <c r="R895" i="2"/>
  <c r="R896" i="2"/>
  <c r="R897" i="2"/>
  <c r="R898" i="2"/>
  <c r="R899" i="2"/>
  <c r="R900" i="2"/>
  <c r="R901" i="2"/>
  <c r="R902" i="2"/>
  <c r="R903" i="2"/>
  <c r="R904" i="2"/>
  <c r="R905" i="2"/>
  <c r="R906" i="2"/>
  <c r="R907" i="2"/>
  <c r="R908" i="2"/>
  <c r="R909" i="2"/>
  <c r="R910" i="2"/>
  <c r="R911" i="2"/>
  <c r="R912" i="2"/>
  <c r="R913" i="2"/>
  <c r="R914" i="2"/>
  <c r="R915" i="2"/>
  <c r="R916" i="2"/>
  <c r="R917" i="2"/>
  <c r="R918" i="2"/>
  <c r="R919" i="2"/>
  <c r="R920" i="2"/>
  <c r="R921" i="2"/>
  <c r="R922" i="2"/>
  <c r="R923" i="2"/>
  <c r="R924" i="2"/>
  <c r="R925" i="2"/>
  <c r="R926" i="2"/>
  <c r="R927" i="2"/>
  <c r="R928" i="2"/>
  <c r="R929" i="2"/>
  <c r="R930" i="2"/>
  <c r="R931" i="2"/>
  <c r="R932" i="2"/>
  <c r="R933" i="2"/>
  <c r="R934" i="2"/>
  <c r="R935" i="2"/>
  <c r="R936" i="2"/>
  <c r="R937" i="2"/>
  <c r="R938" i="2"/>
  <c r="R939" i="2"/>
  <c r="R940" i="2"/>
  <c r="R941" i="2"/>
  <c r="R942" i="2"/>
  <c r="R943" i="2"/>
  <c r="R944" i="2"/>
  <c r="R945" i="2"/>
  <c r="R946" i="2"/>
  <c r="R947" i="2"/>
  <c r="R948" i="2"/>
  <c r="R949" i="2"/>
  <c r="R950" i="2"/>
  <c r="R951" i="2"/>
  <c r="R952" i="2"/>
  <c r="R953" i="2"/>
  <c r="R954" i="2"/>
  <c r="R955" i="2"/>
  <c r="R956" i="2"/>
  <c r="R957" i="2"/>
  <c r="R958" i="2"/>
  <c r="R959" i="2"/>
  <c r="R960" i="2"/>
  <c r="R961" i="2"/>
  <c r="R962" i="2"/>
  <c r="R963" i="2"/>
  <c r="R964" i="2"/>
  <c r="R965" i="2"/>
  <c r="R966" i="2"/>
  <c r="R967" i="2"/>
  <c r="R968" i="2"/>
  <c r="R969" i="2"/>
  <c r="R970" i="2"/>
  <c r="R971" i="2"/>
  <c r="R972" i="2"/>
  <c r="R973" i="2"/>
  <c r="R974" i="2"/>
  <c r="R975" i="2"/>
  <c r="R976" i="2"/>
  <c r="R977" i="2"/>
  <c r="R978" i="2"/>
  <c r="R979" i="2"/>
  <c r="R980" i="2"/>
  <c r="R981" i="2"/>
  <c r="R982" i="2"/>
  <c r="R983" i="2"/>
  <c r="R984" i="2"/>
  <c r="R985" i="2"/>
  <c r="R986" i="2"/>
  <c r="R987" i="2"/>
  <c r="R988" i="2"/>
  <c r="R989" i="2"/>
  <c r="R990" i="2"/>
  <c r="R991" i="2"/>
  <c r="R992" i="2"/>
  <c r="R993" i="2"/>
  <c r="R994" i="2"/>
  <c r="R995" i="2"/>
  <c r="R996" i="2"/>
  <c r="R997" i="2"/>
  <c r="R998" i="2"/>
  <c r="R999" i="2"/>
  <c r="R1000" i="2"/>
  <c r="R1001" i="2"/>
  <c r="R1002" i="2"/>
  <c r="R1003" i="2"/>
  <c r="R1004" i="2"/>
  <c r="R1005" i="2"/>
  <c r="R1006" i="2"/>
  <c r="R1007" i="2"/>
  <c r="R1008" i="2"/>
  <c r="R1009" i="2"/>
  <c r="R1010" i="2"/>
  <c r="R1011" i="2"/>
  <c r="R1012" i="2"/>
  <c r="R1013" i="2"/>
  <c r="R1014" i="2"/>
  <c r="R1015" i="2"/>
  <c r="R1016" i="2"/>
  <c r="R1017" i="2"/>
  <c r="R1018" i="2"/>
  <c r="R1019" i="2"/>
  <c r="R1020" i="2"/>
  <c r="R1021" i="2"/>
  <c r="R1022" i="2"/>
  <c r="R1023" i="2"/>
  <c r="R1024" i="2"/>
  <c r="R1025" i="2"/>
  <c r="R1026" i="2"/>
  <c r="R1027" i="2"/>
  <c r="R1028" i="2"/>
  <c r="R1029" i="2"/>
  <c r="R1030" i="2"/>
  <c r="R1031" i="2"/>
  <c r="R1032" i="2"/>
  <c r="R1033" i="2"/>
  <c r="R1034" i="2"/>
  <c r="R1035" i="2"/>
  <c r="R1036" i="2"/>
  <c r="R1037" i="2"/>
  <c r="R1038" i="2"/>
  <c r="R1039" i="2"/>
  <c r="R1040" i="2"/>
  <c r="R1041" i="2"/>
  <c r="R1042" i="2"/>
  <c r="R1043" i="2"/>
  <c r="R1044" i="2"/>
  <c r="R1045" i="2"/>
  <c r="R1046" i="2"/>
  <c r="R1047" i="2"/>
  <c r="R1048" i="2"/>
  <c r="R1049" i="2"/>
  <c r="R1050" i="2"/>
  <c r="R1051" i="2"/>
  <c r="R1052" i="2"/>
  <c r="R1053" i="2"/>
  <c r="R1054" i="2"/>
  <c r="R1055" i="2"/>
  <c r="R1056" i="2"/>
  <c r="R1057" i="2"/>
  <c r="R1058" i="2"/>
  <c r="R1059" i="2"/>
  <c r="R1060" i="2"/>
  <c r="R1061" i="2"/>
  <c r="R1062" i="2"/>
  <c r="R1063" i="2"/>
  <c r="R1064" i="2"/>
  <c r="R1065" i="2"/>
  <c r="R1066" i="2"/>
  <c r="R1067" i="2"/>
  <c r="R1068" i="2"/>
  <c r="R1069" i="2"/>
  <c r="R1070" i="2"/>
  <c r="R1071" i="2"/>
  <c r="R1072" i="2"/>
  <c r="R1073" i="2"/>
  <c r="R1074" i="2"/>
  <c r="R1075" i="2"/>
  <c r="R1076" i="2"/>
  <c r="R1077" i="2"/>
  <c r="R1078" i="2"/>
  <c r="R1079" i="2"/>
  <c r="R1080" i="2"/>
  <c r="R1081" i="2"/>
  <c r="R1082" i="2"/>
  <c r="R1083" i="2"/>
  <c r="R1084" i="2"/>
  <c r="R1085" i="2"/>
  <c r="R1086" i="2"/>
  <c r="R1087" i="2"/>
  <c r="R1088" i="2"/>
  <c r="R1089" i="2"/>
  <c r="R1090" i="2"/>
  <c r="R1091" i="2"/>
  <c r="R1092" i="2"/>
  <c r="R1093" i="2"/>
  <c r="R1094" i="2"/>
  <c r="R1095" i="2"/>
  <c r="R1096" i="2"/>
  <c r="R1097" i="2"/>
  <c r="R1098" i="2"/>
  <c r="R1099" i="2"/>
  <c r="R1100" i="2"/>
  <c r="R1101" i="2"/>
  <c r="R1102" i="2"/>
  <c r="R1103" i="2"/>
  <c r="R1104" i="2"/>
  <c r="R1105" i="2"/>
  <c r="R1106" i="2"/>
  <c r="R1107" i="2"/>
  <c r="R1108" i="2"/>
  <c r="R1109" i="2"/>
  <c r="R1110" i="2"/>
  <c r="R1111" i="2"/>
  <c r="R1112" i="2"/>
  <c r="R1113" i="2"/>
  <c r="R1114" i="2"/>
  <c r="R1115" i="2"/>
  <c r="R1116" i="2"/>
  <c r="R1117" i="2"/>
  <c r="R1118" i="2"/>
  <c r="R1119" i="2"/>
  <c r="R1120" i="2"/>
  <c r="R1121" i="2"/>
  <c r="R1122" i="2"/>
  <c r="R1123" i="2"/>
  <c r="R1124" i="2"/>
  <c r="R1125" i="2"/>
  <c r="R1126" i="2"/>
  <c r="R1127" i="2"/>
  <c r="R1128" i="2"/>
  <c r="R1129" i="2"/>
  <c r="R1130" i="2"/>
  <c r="R1131" i="2"/>
  <c r="R1132" i="2"/>
  <c r="R1133" i="2"/>
  <c r="R1134" i="2"/>
  <c r="R1135" i="2"/>
  <c r="R1136" i="2"/>
  <c r="R1137" i="2"/>
  <c r="R1138" i="2"/>
  <c r="R1139" i="2"/>
  <c r="R1140" i="2"/>
  <c r="R1141" i="2"/>
  <c r="R1142" i="2"/>
  <c r="R1143" i="2"/>
  <c r="R1144" i="2"/>
  <c r="R1145" i="2"/>
  <c r="R1146" i="2"/>
  <c r="R1147" i="2"/>
  <c r="R1148" i="2"/>
  <c r="R1149" i="2"/>
  <c r="R1150" i="2"/>
  <c r="R1151" i="2"/>
  <c r="R1152" i="2"/>
  <c r="R1153" i="2"/>
  <c r="R1154" i="2"/>
  <c r="R1155" i="2"/>
  <c r="R1156" i="2"/>
  <c r="R1157" i="2"/>
  <c r="R1158" i="2"/>
  <c r="R1159" i="2"/>
  <c r="R1160" i="2"/>
  <c r="R1161" i="2"/>
  <c r="R1162" i="2"/>
  <c r="R1163" i="2"/>
  <c r="R1164" i="2"/>
  <c r="R1165" i="2"/>
  <c r="R1166" i="2"/>
  <c r="R1167" i="2"/>
  <c r="R1168" i="2"/>
  <c r="R1169" i="2"/>
  <c r="R1170" i="2"/>
  <c r="R1171" i="2"/>
  <c r="R1172" i="2"/>
  <c r="R1173" i="2"/>
  <c r="R1174" i="2"/>
  <c r="R1175" i="2"/>
  <c r="R1176" i="2"/>
  <c r="R1177" i="2"/>
  <c r="R1178" i="2"/>
  <c r="R1179" i="2"/>
  <c r="R1180" i="2"/>
  <c r="R1181" i="2"/>
  <c r="R1182" i="2"/>
  <c r="R1183" i="2"/>
  <c r="R1184" i="2"/>
  <c r="R1185" i="2"/>
  <c r="R1186" i="2"/>
  <c r="R1187" i="2"/>
  <c r="R1188" i="2"/>
  <c r="R1189" i="2"/>
  <c r="R1190" i="2"/>
  <c r="R1191" i="2"/>
  <c r="R1192" i="2"/>
  <c r="R1193" i="2"/>
  <c r="R1194" i="2"/>
  <c r="R1195" i="2"/>
  <c r="R1196" i="2"/>
  <c r="R1197" i="2"/>
  <c r="R1198" i="2"/>
  <c r="R1199" i="2"/>
  <c r="R1200" i="2"/>
  <c r="R1201" i="2"/>
  <c r="R1202" i="2"/>
  <c r="R1203" i="2"/>
  <c r="R1204" i="2"/>
  <c r="R1205" i="2"/>
  <c r="R1206" i="2"/>
  <c r="R1207" i="2"/>
  <c r="R1208" i="2"/>
  <c r="R1209" i="2"/>
  <c r="R1210" i="2"/>
  <c r="R1211" i="2"/>
  <c r="R1212" i="2"/>
  <c r="R1213" i="2"/>
  <c r="R1214" i="2"/>
  <c r="R1215" i="2"/>
  <c r="R1216" i="2"/>
  <c r="R1217" i="2"/>
  <c r="R1218" i="2"/>
  <c r="R1219" i="2"/>
  <c r="R1220" i="2"/>
  <c r="R1221" i="2"/>
  <c r="R1222" i="2"/>
  <c r="R1223" i="2"/>
  <c r="R1224" i="2"/>
  <c r="R1225" i="2"/>
  <c r="R1226" i="2"/>
  <c r="R1227" i="2"/>
  <c r="R1228" i="2"/>
  <c r="R1229" i="2"/>
  <c r="R1230" i="2"/>
  <c r="R1231" i="2"/>
  <c r="R1232" i="2"/>
  <c r="R1233" i="2"/>
  <c r="R1234" i="2"/>
  <c r="R1235" i="2"/>
  <c r="R1236" i="2"/>
  <c r="R1237" i="2"/>
  <c r="R1238" i="2"/>
  <c r="R1239" i="2"/>
  <c r="R1240" i="2"/>
  <c r="R1241" i="2"/>
  <c r="R1242" i="2"/>
  <c r="R1243" i="2"/>
  <c r="R1244" i="2"/>
  <c r="R1245" i="2"/>
  <c r="R1246" i="2"/>
  <c r="R1247" i="2"/>
  <c r="R1248" i="2"/>
  <c r="R1249" i="2"/>
  <c r="R1250" i="2"/>
  <c r="R1251" i="2"/>
  <c r="R1252" i="2"/>
  <c r="R1253" i="2"/>
  <c r="R1254" i="2"/>
  <c r="R1255" i="2"/>
  <c r="R1256" i="2"/>
  <c r="R1257" i="2"/>
  <c r="R1258" i="2"/>
  <c r="R1259" i="2"/>
  <c r="R1260" i="2"/>
  <c r="R1261" i="2"/>
  <c r="R1262" i="2"/>
  <c r="R1263" i="2"/>
  <c r="R1264" i="2"/>
  <c r="R1265" i="2"/>
  <c r="R1266" i="2"/>
  <c r="R1267" i="2"/>
  <c r="R1268" i="2"/>
  <c r="R1269" i="2"/>
  <c r="R1270" i="2"/>
  <c r="R1271" i="2"/>
  <c r="R1272" i="2"/>
  <c r="R1273" i="2"/>
  <c r="R1274" i="2"/>
  <c r="R1275" i="2"/>
  <c r="R1276" i="2"/>
  <c r="R1277" i="2"/>
  <c r="R1278" i="2"/>
  <c r="R1279" i="2"/>
  <c r="R1280" i="2"/>
  <c r="R1281" i="2"/>
  <c r="R1282" i="2"/>
  <c r="R1283" i="2"/>
  <c r="R1284" i="2"/>
  <c r="R1285" i="2"/>
  <c r="R1286" i="2"/>
  <c r="R1287" i="2"/>
  <c r="R1288" i="2"/>
  <c r="R1289" i="2"/>
  <c r="R1290" i="2"/>
  <c r="R1291" i="2"/>
  <c r="R1292" i="2"/>
  <c r="R1293" i="2"/>
  <c r="R1294" i="2"/>
  <c r="R1295" i="2"/>
  <c r="R1296" i="2"/>
  <c r="R1297" i="2"/>
  <c r="R1298" i="2"/>
  <c r="R1299" i="2"/>
  <c r="R1300" i="2"/>
  <c r="R1301" i="2"/>
  <c r="R1302" i="2"/>
  <c r="R1303" i="2"/>
  <c r="R1304" i="2"/>
  <c r="R1305" i="2"/>
  <c r="R1306" i="2"/>
  <c r="R1307" i="2"/>
  <c r="R1308" i="2"/>
  <c r="R1309" i="2"/>
  <c r="R1310" i="2"/>
  <c r="R1311" i="2"/>
  <c r="R1312" i="2"/>
  <c r="R1313" i="2"/>
  <c r="R1314" i="2"/>
  <c r="R1315" i="2"/>
  <c r="R1316" i="2"/>
  <c r="R1317" i="2"/>
  <c r="R1318" i="2"/>
  <c r="R1319" i="2"/>
  <c r="R1320" i="2"/>
  <c r="R1321" i="2"/>
  <c r="R1322" i="2"/>
  <c r="R1323" i="2"/>
  <c r="R1324" i="2"/>
  <c r="R1325" i="2"/>
  <c r="R1326" i="2"/>
  <c r="R1327" i="2"/>
  <c r="R1328" i="2"/>
  <c r="R1329" i="2"/>
  <c r="R1330" i="2"/>
  <c r="R1331" i="2"/>
  <c r="R1332" i="2"/>
  <c r="R1333" i="2"/>
  <c r="R1334" i="2"/>
  <c r="R1335" i="2"/>
  <c r="R1336" i="2"/>
  <c r="R1337" i="2"/>
  <c r="R1338" i="2"/>
  <c r="R1339" i="2"/>
  <c r="R1340" i="2"/>
  <c r="R1341" i="2"/>
  <c r="R1342" i="2"/>
  <c r="R1343" i="2"/>
  <c r="R1344" i="2"/>
  <c r="R1345" i="2"/>
  <c r="R1346" i="2"/>
  <c r="R1347" i="2"/>
  <c r="R1348" i="2"/>
  <c r="R1349" i="2"/>
  <c r="R1350" i="2"/>
  <c r="R1351" i="2"/>
  <c r="R1352" i="2"/>
  <c r="R1353" i="2"/>
  <c r="R1354" i="2"/>
  <c r="R1355" i="2"/>
  <c r="R1356" i="2"/>
  <c r="R1357" i="2"/>
  <c r="R1358" i="2"/>
  <c r="R1359" i="2"/>
  <c r="R1360" i="2"/>
  <c r="R1361" i="2"/>
  <c r="R1362" i="2"/>
  <c r="R1363" i="2"/>
  <c r="R1364" i="2"/>
  <c r="R1365" i="2"/>
  <c r="R1366" i="2"/>
  <c r="R1367" i="2"/>
  <c r="R1368" i="2"/>
  <c r="R1369" i="2"/>
  <c r="R1370" i="2"/>
  <c r="R1371" i="2"/>
  <c r="R1372" i="2"/>
  <c r="R1373" i="2"/>
  <c r="R1374" i="2"/>
  <c r="R1375" i="2"/>
  <c r="R1376" i="2"/>
  <c r="R1377" i="2"/>
  <c r="R1378" i="2"/>
  <c r="R1379" i="2"/>
  <c r="R1380" i="2"/>
  <c r="R1381" i="2"/>
  <c r="R1382" i="2"/>
  <c r="R1383" i="2"/>
  <c r="R1384" i="2"/>
  <c r="R1385" i="2"/>
  <c r="R1386" i="2"/>
  <c r="R1387" i="2"/>
  <c r="R1388" i="2"/>
  <c r="R1389" i="2"/>
  <c r="R1390" i="2"/>
  <c r="R1391" i="2"/>
  <c r="R1392" i="2"/>
  <c r="R1393" i="2"/>
  <c r="R1394" i="2"/>
  <c r="R1395" i="2"/>
  <c r="R1396" i="2"/>
  <c r="R1397" i="2"/>
  <c r="R1398" i="2"/>
  <c r="R1399" i="2"/>
  <c r="R1400" i="2"/>
  <c r="R1401" i="2"/>
  <c r="R1402" i="2"/>
  <c r="R1403" i="2"/>
  <c r="R1404" i="2"/>
  <c r="R1405" i="2"/>
  <c r="R1406" i="2"/>
  <c r="R1407" i="2"/>
  <c r="R1408" i="2"/>
  <c r="R1409" i="2"/>
  <c r="R1410" i="2"/>
  <c r="R1411" i="2"/>
  <c r="R1412" i="2"/>
  <c r="R1413" i="2"/>
  <c r="R1414" i="2"/>
  <c r="R1415" i="2"/>
  <c r="R1416" i="2"/>
  <c r="R1417" i="2"/>
  <c r="R1418" i="2"/>
  <c r="R1419" i="2"/>
  <c r="R1420" i="2"/>
  <c r="R1421" i="2"/>
  <c r="R1422" i="2"/>
  <c r="R1423" i="2"/>
  <c r="R1424" i="2"/>
  <c r="R1425" i="2"/>
  <c r="R1426" i="2"/>
  <c r="R1427" i="2"/>
  <c r="R1428" i="2"/>
  <c r="R1429" i="2"/>
  <c r="R1430" i="2"/>
  <c r="R1431" i="2"/>
  <c r="R1432" i="2"/>
  <c r="R1433" i="2"/>
  <c r="R1434" i="2"/>
  <c r="R1435" i="2"/>
  <c r="R1436" i="2"/>
  <c r="R1437" i="2"/>
  <c r="R1438" i="2"/>
  <c r="R1439" i="2"/>
  <c r="R1440" i="2"/>
  <c r="R1441" i="2"/>
  <c r="R1442" i="2"/>
  <c r="R1443" i="2"/>
  <c r="R1444" i="2"/>
  <c r="R1445" i="2"/>
  <c r="R1446" i="2"/>
  <c r="R1447" i="2"/>
  <c r="R1448" i="2"/>
  <c r="R1449" i="2"/>
  <c r="R1450" i="2"/>
  <c r="R1451" i="2"/>
  <c r="R1452" i="2"/>
  <c r="R1453" i="2"/>
  <c r="R1454" i="2"/>
  <c r="R1455" i="2"/>
  <c r="R1456" i="2"/>
  <c r="R1457" i="2"/>
  <c r="R1458" i="2"/>
  <c r="R1459" i="2"/>
  <c r="R1460" i="2"/>
  <c r="R1461" i="2"/>
  <c r="R1462" i="2"/>
  <c r="R1463" i="2"/>
  <c r="R1464" i="2"/>
  <c r="R1465" i="2"/>
  <c r="R1466" i="2"/>
  <c r="R1467" i="2"/>
  <c r="R1468" i="2"/>
  <c r="R1469" i="2"/>
  <c r="R1470" i="2"/>
  <c r="R1471" i="2"/>
  <c r="R1472" i="2"/>
  <c r="R1473" i="2"/>
  <c r="R1474" i="2"/>
  <c r="R1475" i="2"/>
  <c r="R1476" i="2"/>
  <c r="R1477" i="2"/>
  <c r="R1478" i="2"/>
  <c r="R1479" i="2"/>
  <c r="R1480" i="2"/>
  <c r="R1481" i="2"/>
  <c r="R1482" i="2"/>
  <c r="R1483" i="2"/>
  <c r="R1484" i="2"/>
  <c r="R1485" i="2"/>
  <c r="R1486" i="2"/>
  <c r="R1487" i="2"/>
  <c r="R1488" i="2"/>
  <c r="R1489" i="2"/>
  <c r="R1490" i="2"/>
  <c r="R1491" i="2"/>
  <c r="R1492" i="2"/>
  <c r="R1493" i="2"/>
  <c r="R1494" i="2"/>
  <c r="R1495" i="2"/>
  <c r="R1496" i="2"/>
  <c r="R1497" i="2"/>
  <c r="R1498" i="2"/>
  <c r="R1499" i="2"/>
  <c r="R1500" i="2"/>
  <c r="R1501" i="2"/>
  <c r="R1502" i="2"/>
  <c r="R1503" i="2"/>
  <c r="R1504" i="2"/>
  <c r="R1505" i="2"/>
  <c r="R1506" i="2"/>
  <c r="R1507" i="2"/>
  <c r="R1508" i="2"/>
  <c r="R1509" i="2"/>
  <c r="R1510" i="2"/>
  <c r="R1511" i="2"/>
  <c r="R1512" i="2"/>
  <c r="R1513" i="2"/>
  <c r="R1514" i="2"/>
  <c r="R1515" i="2"/>
  <c r="R1516" i="2"/>
  <c r="R1517" i="2"/>
  <c r="R1518" i="2"/>
  <c r="R1519" i="2"/>
  <c r="R1520" i="2"/>
  <c r="R1521" i="2"/>
  <c r="R1522" i="2"/>
  <c r="R1523" i="2"/>
  <c r="R1524" i="2"/>
  <c r="R1525" i="2"/>
  <c r="R1526" i="2"/>
  <c r="R1527" i="2"/>
  <c r="R1528" i="2"/>
  <c r="R1529" i="2"/>
  <c r="R1530" i="2"/>
  <c r="R1531" i="2"/>
  <c r="R1532" i="2"/>
  <c r="R1533" i="2"/>
  <c r="R1534" i="2"/>
  <c r="R1535" i="2"/>
  <c r="R1536" i="2"/>
  <c r="R1537" i="2"/>
  <c r="R1538" i="2"/>
  <c r="R1539" i="2"/>
  <c r="R1540" i="2"/>
  <c r="R1541" i="2"/>
  <c r="R1542" i="2"/>
  <c r="R1543" i="2"/>
  <c r="R1544" i="2"/>
  <c r="R1545" i="2"/>
  <c r="R1546" i="2"/>
  <c r="R1547" i="2"/>
  <c r="R1548" i="2"/>
  <c r="R1549" i="2"/>
  <c r="R1550" i="2"/>
  <c r="R1551" i="2"/>
  <c r="R1552" i="2"/>
  <c r="R1553" i="2"/>
  <c r="R1554" i="2"/>
  <c r="R1555" i="2"/>
  <c r="R1556" i="2"/>
  <c r="R1557" i="2"/>
  <c r="R1558" i="2"/>
  <c r="R1559" i="2"/>
  <c r="R1560" i="2"/>
  <c r="R1561" i="2"/>
  <c r="R1562" i="2"/>
  <c r="R1563" i="2"/>
  <c r="R1564" i="2"/>
  <c r="R1565" i="2"/>
  <c r="R1566" i="2"/>
  <c r="R1567" i="2"/>
  <c r="R1568" i="2"/>
  <c r="R1569" i="2"/>
  <c r="R1570" i="2"/>
  <c r="R1571" i="2"/>
  <c r="R1572" i="2"/>
  <c r="R1573" i="2"/>
  <c r="R1574" i="2"/>
  <c r="R1575" i="2"/>
  <c r="R1576" i="2"/>
  <c r="R1577" i="2"/>
  <c r="R1578" i="2"/>
  <c r="R1579" i="2"/>
  <c r="R1580" i="2"/>
  <c r="R1581" i="2"/>
  <c r="R1582" i="2"/>
  <c r="R1583" i="2"/>
  <c r="R1584" i="2"/>
  <c r="R1585" i="2"/>
  <c r="R1586" i="2"/>
  <c r="R1587" i="2"/>
  <c r="R1588" i="2"/>
  <c r="R1589" i="2"/>
  <c r="R1590" i="2"/>
  <c r="R1591" i="2"/>
  <c r="R1592" i="2"/>
  <c r="R1593" i="2"/>
  <c r="R1594" i="2"/>
  <c r="R1595" i="2"/>
  <c r="R1596" i="2"/>
  <c r="R1597" i="2"/>
  <c r="R1598" i="2"/>
  <c r="R1599" i="2"/>
  <c r="R1600" i="2"/>
  <c r="R1601" i="2"/>
  <c r="R1602" i="2"/>
  <c r="R1603" i="2"/>
  <c r="R1604" i="2"/>
  <c r="R1605" i="2"/>
  <c r="R1606" i="2"/>
  <c r="R1607" i="2"/>
  <c r="R1608" i="2"/>
  <c r="R1609" i="2"/>
  <c r="R1610" i="2"/>
  <c r="R1611" i="2"/>
  <c r="R1612" i="2"/>
  <c r="R1613" i="2"/>
  <c r="R1614" i="2"/>
  <c r="R1615" i="2"/>
  <c r="R1616" i="2"/>
  <c r="R1617" i="2"/>
  <c r="R1618" i="2"/>
  <c r="R1619" i="2"/>
  <c r="R1620" i="2"/>
  <c r="R1621" i="2"/>
  <c r="R1622" i="2"/>
  <c r="R1623" i="2"/>
  <c r="R1624" i="2"/>
  <c r="R1625" i="2"/>
  <c r="R1626" i="2"/>
  <c r="R1627" i="2"/>
  <c r="R1628" i="2"/>
  <c r="R1629" i="2"/>
  <c r="R1630" i="2"/>
  <c r="R1631" i="2"/>
  <c r="R1632" i="2"/>
  <c r="R1633" i="2"/>
  <c r="R1634" i="2"/>
  <c r="R1635" i="2"/>
  <c r="R1636" i="2"/>
  <c r="R1637" i="2"/>
  <c r="R1638" i="2"/>
  <c r="R1639" i="2"/>
  <c r="R1640" i="2"/>
  <c r="R1641" i="2"/>
  <c r="R1642" i="2"/>
  <c r="R1643" i="2"/>
  <c r="R1644" i="2"/>
  <c r="R1645" i="2"/>
  <c r="R1646" i="2"/>
  <c r="R1647" i="2"/>
  <c r="R1648" i="2"/>
  <c r="R1649" i="2"/>
  <c r="R1650" i="2"/>
  <c r="R1651" i="2"/>
  <c r="R1652" i="2"/>
  <c r="R1653" i="2"/>
  <c r="R1654" i="2"/>
  <c r="R1655" i="2"/>
  <c r="R1656" i="2"/>
  <c r="R1657" i="2"/>
  <c r="R1658" i="2"/>
  <c r="R1659" i="2"/>
  <c r="R1660" i="2"/>
  <c r="R1661" i="2"/>
  <c r="R1662" i="2"/>
  <c r="R1663" i="2"/>
  <c r="R1664" i="2"/>
  <c r="R1665" i="2"/>
  <c r="R1666" i="2"/>
  <c r="R1667" i="2"/>
  <c r="R1668" i="2"/>
  <c r="R1669" i="2"/>
  <c r="R1670" i="2"/>
  <c r="R1671" i="2"/>
  <c r="R1672" i="2"/>
  <c r="R1673" i="2"/>
  <c r="R1674" i="2"/>
  <c r="R1675" i="2"/>
  <c r="R1676" i="2"/>
  <c r="R1677" i="2"/>
  <c r="R1678" i="2"/>
  <c r="R1679" i="2"/>
  <c r="R1680" i="2"/>
  <c r="R1681" i="2"/>
  <c r="R1682" i="2"/>
  <c r="R1683" i="2"/>
  <c r="R1684" i="2"/>
  <c r="R1685" i="2"/>
  <c r="R1686" i="2"/>
  <c r="R1687" i="2"/>
  <c r="R1688" i="2"/>
  <c r="R1689" i="2"/>
  <c r="R1690" i="2"/>
  <c r="R1691" i="2"/>
  <c r="R1692" i="2"/>
  <c r="R1693" i="2"/>
  <c r="R1694" i="2"/>
  <c r="R1695" i="2"/>
  <c r="R1696" i="2"/>
  <c r="R1697" i="2"/>
  <c r="R1698" i="2"/>
  <c r="R1699" i="2"/>
  <c r="R1700" i="2"/>
  <c r="R1701" i="2"/>
  <c r="R1702" i="2"/>
  <c r="R1703" i="2"/>
  <c r="R1704" i="2"/>
  <c r="R1705" i="2"/>
  <c r="R1706" i="2"/>
  <c r="R1707" i="2"/>
  <c r="R1708" i="2"/>
  <c r="R1709" i="2"/>
  <c r="R1710" i="2"/>
  <c r="R1711" i="2"/>
  <c r="R1712" i="2"/>
  <c r="R1713" i="2"/>
  <c r="R1714" i="2"/>
  <c r="R1715" i="2"/>
  <c r="R1716" i="2"/>
  <c r="R1717" i="2"/>
  <c r="R1718" i="2"/>
  <c r="R1719" i="2"/>
  <c r="R1720" i="2"/>
  <c r="R1721" i="2"/>
  <c r="R1722" i="2"/>
  <c r="R1723" i="2"/>
  <c r="R1724" i="2"/>
  <c r="R1725" i="2"/>
  <c r="R1726" i="2"/>
  <c r="R1727" i="2"/>
  <c r="R1728" i="2"/>
  <c r="R1729" i="2"/>
  <c r="R1730" i="2"/>
  <c r="R1731" i="2"/>
  <c r="R1732" i="2"/>
  <c r="R1733" i="2"/>
  <c r="R1734" i="2"/>
  <c r="R1735" i="2"/>
  <c r="R1736" i="2"/>
  <c r="R1737" i="2"/>
  <c r="R1738" i="2"/>
  <c r="R1739" i="2"/>
  <c r="R1740" i="2"/>
  <c r="R1741" i="2"/>
  <c r="R1742" i="2"/>
  <c r="R1743" i="2"/>
  <c r="R1744" i="2"/>
  <c r="R1745" i="2"/>
  <c r="R1746" i="2"/>
  <c r="R1747" i="2"/>
  <c r="R1748" i="2"/>
  <c r="R1749" i="2"/>
  <c r="R1750" i="2"/>
  <c r="R1751" i="2"/>
  <c r="R1752" i="2"/>
  <c r="R1753" i="2"/>
  <c r="R1754" i="2"/>
  <c r="R1755" i="2"/>
  <c r="R1756" i="2"/>
  <c r="R1757" i="2"/>
  <c r="R1758" i="2"/>
  <c r="R1759" i="2"/>
  <c r="R1760" i="2"/>
  <c r="R1761" i="2"/>
  <c r="R1762" i="2"/>
  <c r="R1763" i="2"/>
  <c r="R1764" i="2"/>
  <c r="R1765" i="2"/>
  <c r="R1766" i="2"/>
  <c r="R1767" i="2"/>
  <c r="R1768" i="2"/>
  <c r="R1769" i="2"/>
  <c r="R1770" i="2"/>
  <c r="R1771" i="2"/>
  <c r="R1772" i="2"/>
  <c r="R1773" i="2"/>
  <c r="R1774" i="2"/>
  <c r="R1775" i="2"/>
  <c r="R1776" i="2"/>
  <c r="R1777" i="2"/>
  <c r="R1778" i="2"/>
  <c r="R1779" i="2"/>
  <c r="R1780" i="2"/>
  <c r="R1781" i="2"/>
  <c r="R1782" i="2"/>
  <c r="R1783" i="2"/>
  <c r="R1784" i="2"/>
  <c r="R1785" i="2"/>
  <c r="R1786" i="2"/>
  <c r="R1787" i="2"/>
  <c r="R1788" i="2"/>
  <c r="R1789" i="2"/>
  <c r="R1790" i="2"/>
  <c r="R1791" i="2"/>
  <c r="R1792" i="2"/>
  <c r="R1793" i="2"/>
  <c r="R1794" i="2"/>
  <c r="R1795" i="2"/>
  <c r="R1796" i="2"/>
  <c r="R1797" i="2"/>
  <c r="R1798" i="2"/>
  <c r="R1799" i="2"/>
  <c r="R1800" i="2"/>
  <c r="R1801" i="2"/>
  <c r="R1802" i="2"/>
  <c r="R1803" i="2"/>
  <c r="R1804" i="2"/>
  <c r="R1805" i="2"/>
  <c r="R1806" i="2"/>
  <c r="R1807" i="2"/>
  <c r="R1808" i="2"/>
  <c r="R1809" i="2"/>
  <c r="R1810" i="2"/>
  <c r="R1811" i="2"/>
  <c r="R1812" i="2"/>
  <c r="R1813" i="2"/>
  <c r="R1814" i="2"/>
  <c r="R1815" i="2"/>
  <c r="R1816" i="2"/>
  <c r="R1817" i="2"/>
  <c r="R1818" i="2"/>
  <c r="R1819" i="2"/>
  <c r="R1820" i="2"/>
  <c r="R1821" i="2"/>
  <c r="R1822" i="2"/>
  <c r="R1823" i="2"/>
  <c r="R1824" i="2"/>
  <c r="R1825" i="2"/>
  <c r="R1826" i="2"/>
  <c r="R1827" i="2"/>
  <c r="R1828" i="2"/>
  <c r="R1829" i="2"/>
  <c r="R1830" i="2"/>
  <c r="R1831" i="2"/>
  <c r="R1832" i="2"/>
  <c r="R1833" i="2"/>
  <c r="R1834" i="2"/>
  <c r="R1835" i="2"/>
  <c r="R1836" i="2"/>
  <c r="R1837" i="2"/>
  <c r="R1838" i="2"/>
  <c r="R1839" i="2"/>
  <c r="R1840" i="2"/>
  <c r="R1841" i="2"/>
  <c r="R1842" i="2"/>
  <c r="R1843" i="2"/>
  <c r="R1844" i="2"/>
  <c r="R1845" i="2"/>
  <c r="R1846" i="2"/>
  <c r="R1847" i="2"/>
  <c r="R1848" i="2"/>
  <c r="R1849" i="2"/>
  <c r="R1850" i="2"/>
  <c r="R1851" i="2"/>
  <c r="R1852" i="2"/>
  <c r="R1853" i="2"/>
  <c r="R1854" i="2"/>
  <c r="R1855" i="2"/>
  <c r="R1856" i="2"/>
  <c r="R1857" i="2"/>
  <c r="R1858" i="2"/>
  <c r="R1859" i="2"/>
  <c r="R1860" i="2"/>
  <c r="R1861" i="2"/>
  <c r="R1862" i="2"/>
  <c r="R1863" i="2"/>
  <c r="R1864" i="2"/>
  <c r="R1865" i="2"/>
  <c r="R1866" i="2"/>
  <c r="R1867" i="2"/>
  <c r="R1868" i="2"/>
  <c r="R1869" i="2"/>
  <c r="R1870" i="2"/>
  <c r="R1871" i="2"/>
  <c r="R1872" i="2"/>
  <c r="R1873" i="2"/>
  <c r="R1874" i="2"/>
  <c r="R1875" i="2"/>
  <c r="R1876" i="2"/>
  <c r="R1877" i="2"/>
  <c r="R1878" i="2"/>
  <c r="R1879" i="2"/>
  <c r="R1880" i="2"/>
  <c r="R1881" i="2"/>
  <c r="R1882" i="2"/>
  <c r="R1883" i="2"/>
  <c r="R1884" i="2"/>
  <c r="R1885" i="2"/>
  <c r="R1886" i="2"/>
  <c r="R1887" i="2"/>
  <c r="R1888" i="2"/>
  <c r="R1889" i="2"/>
  <c r="R1890" i="2"/>
  <c r="R1891" i="2"/>
  <c r="R1892" i="2"/>
  <c r="R1893" i="2"/>
  <c r="R1894" i="2"/>
  <c r="R1895" i="2"/>
  <c r="R1896" i="2"/>
  <c r="R1897" i="2"/>
  <c r="R1898" i="2"/>
  <c r="R1899" i="2"/>
  <c r="R1900" i="2"/>
  <c r="R1901" i="2"/>
  <c r="R1902" i="2"/>
  <c r="R1903" i="2"/>
  <c r="R1904" i="2"/>
  <c r="R1905" i="2"/>
  <c r="R1906" i="2"/>
  <c r="R1907" i="2"/>
  <c r="R1908" i="2"/>
  <c r="R1909" i="2"/>
  <c r="R1910" i="2"/>
  <c r="R1911" i="2"/>
  <c r="R1912" i="2"/>
  <c r="R1913" i="2"/>
  <c r="R1914" i="2"/>
  <c r="R1915" i="2"/>
  <c r="R1916" i="2"/>
  <c r="R1917" i="2"/>
  <c r="R1918" i="2"/>
  <c r="R1919" i="2"/>
  <c r="R1920" i="2"/>
  <c r="R1921" i="2"/>
  <c r="R1922" i="2"/>
  <c r="R1923" i="2"/>
  <c r="R1924" i="2"/>
  <c r="R1925" i="2"/>
  <c r="R1926" i="2"/>
  <c r="R1927" i="2"/>
  <c r="R1928" i="2"/>
  <c r="R1929" i="2"/>
  <c r="R1930" i="2"/>
  <c r="R1931" i="2"/>
  <c r="R1932" i="2"/>
  <c r="R1933" i="2"/>
  <c r="R1934" i="2"/>
  <c r="R1935" i="2"/>
  <c r="R1936" i="2"/>
  <c r="R1937" i="2"/>
  <c r="R1938" i="2"/>
  <c r="R1939" i="2"/>
  <c r="R1940" i="2"/>
  <c r="R1941" i="2"/>
  <c r="R1942" i="2"/>
  <c r="R1943" i="2"/>
  <c r="R1944" i="2"/>
  <c r="R1945" i="2"/>
  <c r="R1946" i="2"/>
  <c r="R1947" i="2"/>
  <c r="R1948" i="2"/>
  <c r="R1949" i="2"/>
  <c r="R1950" i="2"/>
  <c r="R1951" i="2"/>
  <c r="R1952" i="2"/>
  <c r="R1953" i="2"/>
  <c r="R1954" i="2"/>
  <c r="R1955" i="2"/>
  <c r="R1956" i="2"/>
  <c r="R1957" i="2"/>
  <c r="R1958" i="2"/>
  <c r="R1959" i="2"/>
  <c r="R1960" i="2"/>
  <c r="R1961" i="2"/>
  <c r="R1962" i="2"/>
  <c r="R1963" i="2"/>
  <c r="R1964" i="2"/>
  <c r="R1965" i="2"/>
  <c r="R1966" i="2"/>
  <c r="R1967" i="2"/>
  <c r="R1968" i="2"/>
  <c r="R1969" i="2"/>
  <c r="R1970" i="2"/>
  <c r="R1971" i="2"/>
  <c r="R1972" i="2"/>
  <c r="R1973" i="2"/>
  <c r="R1974" i="2"/>
  <c r="R1975" i="2"/>
  <c r="R1976" i="2"/>
  <c r="R1977" i="2"/>
  <c r="R1978" i="2"/>
  <c r="R1979" i="2"/>
  <c r="R1980" i="2"/>
  <c r="R1981" i="2"/>
  <c r="R1982" i="2"/>
  <c r="R1983" i="2"/>
  <c r="R1984" i="2"/>
  <c r="R1985" i="2"/>
  <c r="R1986" i="2"/>
  <c r="R1987" i="2"/>
  <c r="R1988" i="2"/>
  <c r="R1989" i="2"/>
  <c r="R1990" i="2"/>
  <c r="R1991" i="2"/>
  <c r="R1992" i="2"/>
  <c r="R1993" i="2"/>
  <c r="R1994" i="2"/>
  <c r="R1995" i="2"/>
  <c r="R1996" i="2"/>
  <c r="R1997" i="2"/>
  <c r="R1998" i="2"/>
  <c r="R1999" i="2"/>
  <c r="R2000" i="2"/>
  <c r="R2001" i="2"/>
  <c r="R2002" i="2"/>
  <c r="R2003" i="2"/>
  <c r="R2004" i="2"/>
  <c r="R2005" i="2"/>
  <c r="R2006" i="2"/>
  <c r="R2007" i="2"/>
  <c r="R2008" i="2"/>
  <c r="R2009" i="2"/>
  <c r="R2010" i="2"/>
  <c r="R2011" i="2"/>
  <c r="R2012" i="2"/>
  <c r="R2013" i="2"/>
  <c r="R2014" i="2"/>
  <c r="R2015" i="2"/>
  <c r="R2016" i="2"/>
  <c r="R2017" i="2"/>
  <c r="R2018" i="2"/>
  <c r="R2019" i="2"/>
  <c r="R2020" i="2"/>
  <c r="R2021" i="2"/>
  <c r="R2022" i="2"/>
  <c r="R2023" i="2"/>
  <c r="R2024" i="2"/>
  <c r="R2025" i="2"/>
  <c r="R2026" i="2"/>
  <c r="R2027" i="2"/>
  <c r="R2028" i="2"/>
  <c r="R2029" i="2"/>
  <c r="R2030" i="2"/>
  <c r="R2031" i="2"/>
  <c r="R2032" i="2"/>
  <c r="R2033" i="2"/>
  <c r="R2034" i="2"/>
  <c r="R2035" i="2"/>
  <c r="R2036" i="2"/>
  <c r="R2037" i="2"/>
  <c r="R2038" i="2"/>
  <c r="R2039" i="2"/>
  <c r="R2040" i="2"/>
  <c r="R2041" i="2"/>
  <c r="R2042" i="2"/>
  <c r="R2043" i="2"/>
  <c r="R2044" i="2"/>
  <c r="R2045" i="2"/>
  <c r="R2046" i="2"/>
  <c r="R2047" i="2"/>
  <c r="R2048" i="2"/>
  <c r="R2049" i="2"/>
  <c r="R2050" i="2"/>
  <c r="R2051" i="2"/>
  <c r="R2052" i="2"/>
  <c r="R2053" i="2"/>
  <c r="R2054" i="2"/>
  <c r="R2055" i="2"/>
  <c r="R2056" i="2"/>
  <c r="R2057" i="2"/>
  <c r="R2058" i="2"/>
  <c r="R2059" i="2"/>
  <c r="R2060" i="2"/>
  <c r="R2061" i="2"/>
  <c r="R2062" i="2"/>
  <c r="R2063" i="2"/>
  <c r="R2064" i="2"/>
  <c r="R2065" i="2"/>
  <c r="R2066" i="2"/>
  <c r="R2067" i="2"/>
  <c r="R2068" i="2"/>
  <c r="R2069" i="2"/>
  <c r="R2070" i="2"/>
  <c r="R2071" i="2"/>
  <c r="R2072" i="2"/>
  <c r="R2073" i="2"/>
  <c r="R2074" i="2"/>
  <c r="R2075" i="2"/>
  <c r="R2076" i="2"/>
  <c r="R2077" i="2"/>
  <c r="R2078" i="2"/>
  <c r="R2079" i="2"/>
  <c r="R2080" i="2"/>
  <c r="R2081" i="2"/>
  <c r="R2082" i="2"/>
  <c r="R2083" i="2"/>
  <c r="R2084" i="2"/>
  <c r="R2085" i="2"/>
  <c r="R2086" i="2"/>
  <c r="R2087" i="2"/>
  <c r="R2088" i="2"/>
  <c r="R2089" i="2"/>
  <c r="R2090" i="2"/>
  <c r="R2091" i="2"/>
  <c r="R2092" i="2"/>
  <c r="R2093" i="2"/>
  <c r="R2094" i="2"/>
  <c r="R2095" i="2"/>
  <c r="R2096" i="2"/>
  <c r="R2097" i="2"/>
  <c r="R2098" i="2"/>
  <c r="R2099" i="2"/>
  <c r="R2100" i="2"/>
  <c r="R2101" i="2"/>
  <c r="R2102" i="2"/>
  <c r="R2103" i="2"/>
  <c r="R2104" i="2"/>
  <c r="R2105" i="2"/>
  <c r="R2106" i="2"/>
  <c r="R2107" i="2"/>
  <c r="R2108" i="2"/>
  <c r="R2109" i="2"/>
  <c r="R2110" i="2"/>
  <c r="R2111" i="2"/>
  <c r="R2112" i="2"/>
  <c r="R2113" i="2"/>
  <c r="R2114" i="2"/>
  <c r="R2115" i="2"/>
  <c r="R2116" i="2"/>
  <c r="R2117" i="2"/>
  <c r="R2118" i="2"/>
  <c r="R2119" i="2"/>
  <c r="R2120" i="2"/>
  <c r="R2121" i="2"/>
  <c r="R2122" i="2"/>
  <c r="R2123" i="2"/>
  <c r="R2124" i="2"/>
  <c r="R2125" i="2"/>
  <c r="R2126" i="2"/>
  <c r="R2127" i="2"/>
  <c r="R2128" i="2"/>
  <c r="R2129" i="2"/>
  <c r="R2130" i="2"/>
  <c r="R2131" i="2"/>
  <c r="R2132" i="2"/>
  <c r="R2133" i="2"/>
  <c r="R2134" i="2"/>
  <c r="R2135" i="2"/>
  <c r="R2136" i="2"/>
  <c r="R2137" i="2"/>
  <c r="R2138" i="2"/>
  <c r="R2139" i="2"/>
  <c r="R2140" i="2"/>
  <c r="R2141" i="2"/>
  <c r="R2142" i="2"/>
  <c r="R2143" i="2"/>
  <c r="R2144" i="2"/>
  <c r="R2145" i="2"/>
  <c r="R2146" i="2"/>
  <c r="R2147" i="2"/>
  <c r="R2148" i="2"/>
  <c r="R2149" i="2"/>
  <c r="R2150" i="2"/>
  <c r="R2151" i="2"/>
  <c r="R2152" i="2"/>
  <c r="R2153" i="2"/>
  <c r="R2154" i="2"/>
  <c r="R2155" i="2"/>
  <c r="R2156" i="2"/>
  <c r="R2157" i="2"/>
  <c r="R2158" i="2"/>
  <c r="R2159" i="2"/>
  <c r="R2160" i="2"/>
  <c r="R2161" i="2"/>
  <c r="R2162" i="2"/>
  <c r="R2163" i="2"/>
  <c r="R2164" i="2"/>
  <c r="R2165" i="2"/>
  <c r="R2166" i="2"/>
  <c r="R2167" i="2"/>
  <c r="R2168" i="2"/>
  <c r="R2169" i="2"/>
  <c r="R2170" i="2"/>
  <c r="R2171" i="2"/>
  <c r="R2172" i="2"/>
  <c r="R2173" i="2"/>
  <c r="R2174" i="2"/>
  <c r="R2175" i="2"/>
  <c r="R2176" i="2"/>
  <c r="R2177" i="2"/>
  <c r="R2178" i="2"/>
  <c r="R2179" i="2"/>
  <c r="R2180" i="2"/>
  <c r="R2181" i="2"/>
  <c r="R2182" i="2"/>
  <c r="R2183" i="2"/>
  <c r="R2184" i="2"/>
  <c r="R2185" i="2"/>
  <c r="R2186" i="2"/>
  <c r="R2187" i="2"/>
  <c r="R2188" i="2"/>
  <c r="R2189" i="2"/>
  <c r="R2190" i="2"/>
  <c r="R2191" i="2"/>
  <c r="R2192" i="2"/>
  <c r="R2193" i="2"/>
  <c r="R2194" i="2"/>
  <c r="R2195" i="2"/>
  <c r="R2196" i="2"/>
  <c r="R2197" i="2"/>
  <c r="R2198" i="2"/>
  <c r="R2199" i="2"/>
  <c r="R2200" i="2"/>
  <c r="R2201" i="2"/>
  <c r="R2202" i="2"/>
  <c r="R2203" i="2"/>
  <c r="R2204" i="2"/>
  <c r="R2205" i="2"/>
  <c r="R2206" i="2"/>
  <c r="R2207" i="2"/>
  <c r="R2208" i="2"/>
  <c r="R2209" i="2"/>
  <c r="R2210" i="2"/>
  <c r="R2211" i="2"/>
  <c r="R2212" i="2"/>
  <c r="R2213" i="2"/>
  <c r="R2214" i="2"/>
  <c r="R2215" i="2"/>
  <c r="R2216" i="2"/>
  <c r="R2217" i="2"/>
  <c r="R2218" i="2"/>
  <c r="R2219" i="2"/>
  <c r="R2220" i="2"/>
  <c r="R2221" i="2"/>
  <c r="R2222" i="2"/>
  <c r="R2223" i="2"/>
  <c r="R2224" i="2"/>
  <c r="R2225" i="2"/>
  <c r="R2226" i="2"/>
  <c r="R2227" i="2"/>
  <c r="R2228" i="2"/>
  <c r="R2229" i="2"/>
  <c r="R2230" i="2"/>
  <c r="R2231" i="2"/>
  <c r="R2232" i="2"/>
  <c r="R2233" i="2"/>
  <c r="R2234" i="2"/>
  <c r="R2235" i="2"/>
  <c r="R2236" i="2"/>
  <c r="R2237" i="2"/>
  <c r="R2238" i="2"/>
  <c r="R2239" i="2"/>
  <c r="R2240" i="2"/>
  <c r="R2241" i="2"/>
  <c r="R2242" i="2"/>
  <c r="R2243" i="2"/>
  <c r="R2244" i="2"/>
  <c r="R2245" i="2"/>
  <c r="R2246" i="2"/>
  <c r="R2247" i="2"/>
  <c r="R2248" i="2"/>
  <c r="R2249" i="2"/>
  <c r="R2250" i="2"/>
  <c r="R2251" i="2"/>
  <c r="R2252" i="2"/>
  <c r="R2253" i="2"/>
  <c r="R2254" i="2"/>
  <c r="R2255" i="2"/>
  <c r="R2256" i="2"/>
  <c r="R2257" i="2"/>
  <c r="R2258" i="2"/>
  <c r="R2259" i="2"/>
  <c r="R2260" i="2"/>
  <c r="R2261" i="2"/>
  <c r="R2262" i="2"/>
  <c r="R2263" i="2"/>
  <c r="R2264" i="2"/>
  <c r="R2265" i="2"/>
  <c r="R2266" i="2"/>
  <c r="R2267" i="2"/>
  <c r="R2268" i="2"/>
  <c r="R2269" i="2"/>
  <c r="R2270" i="2"/>
  <c r="R2271" i="2"/>
  <c r="R2272" i="2"/>
  <c r="R2273" i="2"/>
  <c r="R2274" i="2"/>
  <c r="R2275" i="2"/>
  <c r="R2276" i="2"/>
  <c r="R2277" i="2"/>
  <c r="R2278" i="2"/>
  <c r="R2279" i="2"/>
  <c r="R2280" i="2"/>
  <c r="R2281" i="2"/>
  <c r="R2282" i="2"/>
  <c r="R2283" i="2"/>
  <c r="R2284" i="2"/>
  <c r="R2285" i="2"/>
  <c r="R2286" i="2"/>
  <c r="R2287" i="2"/>
  <c r="R2288" i="2"/>
  <c r="R2289" i="2"/>
  <c r="R2290" i="2"/>
  <c r="R2291" i="2"/>
  <c r="R2292" i="2"/>
  <c r="R2293" i="2"/>
  <c r="R2294" i="2"/>
  <c r="R2295" i="2"/>
  <c r="R2296" i="2"/>
  <c r="R2297" i="2"/>
  <c r="R2298" i="2"/>
  <c r="R2299" i="2"/>
  <c r="R2300" i="2"/>
  <c r="R2301" i="2"/>
  <c r="R2302" i="2"/>
  <c r="R2303" i="2"/>
  <c r="R2304" i="2"/>
  <c r="R2305" i="2"/>
  <c r="R2306" i="2"/>
  <c r="R2307" i="2"/>
  <c r="R2308" i="2"/>
  <c r="R2309" i="2"/>
  <c r="R2310" i="2"/>
  <c r="R2311" i="2"/>
  <c r="R2312" i="2"/>
  <c r="R2313" i="2"/>
  <c r="R2314" i="2"/>
  <c r="R2315" i="2"/>
  <c r="R2316" i="2"/>
  <c r="R2317" i="2"/>
  <c r="R2318" i="2"/>
  <c r="R2319" i="2"/>
  <c r="R2320" i="2"/>
  <c r="R2321" i="2"/>
  <c r="R2322" i="2"/>
  <c r="R2323" i="2"/>
  <c r="R2324" i="2"/>
  <c r="R2325" i="2"/>
  <c r="R2326" i="2"/>
  <c r="R2327" i="2"/>
  <c r="R2328" i="2"/>
  <c r="R2329" i="2"/>
  <c r="R2330" i="2"/>
  <c r="R2331" i="2"/>
  <c r="R2332" i="2"/>
  <c r="R2333" i="2"/>
  <c r="R2334" i="2"/>
  <c r="R2335" i="2"/>
  <c r="R2336" i="2"/>
  <c r="R2337" i="2"/>
  <c r="R2338" i="2"/>
  <c r="R2339" i="2"/>
  <c r="R2340" i="2"/>
  <c r="R2341" i="2"/>
  <c r="R2342" i="2"/>
  <c r="R2343" i="2"/>
  <c r="R2344" i="2"/>
  <c r="R2345" i="2"/>
  <c r="R2346" i="2"/>
  <c r="R2347" i="2"/>
  <c r="R2348" i="2"/>
  <c r="R2349" i="2"/>
  <c r="R2350" i="2"/>
  <c r="R2351" i="2"/>
  <c r="R2352" i="2"/>
  <c r="R2353" i="2"/>
  <c r="R2354" i="2"/>
  <c r="R2355" i="2"/>
  <c r="R2356" i="2"/>
  <c r="R2357" i="2"/>
  <c r="R2358" i="2"/>
  <c r="R2359" i="2"/>
  <c r="R2360" i="2"/>
  <c r="R2361" i="2"/>
  <c r="R2362" i="2"/>
  <c r="R2363" i="2"/>
  <c r="R2364" i="2"/>
  <c r="R2365" i="2"/>
  <c r="R2366" i="2"/>
  <c r="R2367" i="2"/>
  <c r="R2368" i="2"/>
  <c r="R2369" i="2"/>
  <c r="R2370" i="2"/>
  <c r="R2371" i="2"/>
  <c r="R2372" i="2"/>
  <c r="R2373" i="2"/>
  <c r="R2374" i="2"/>
  <c r="R2375" i="2"/>
  <c r="R2376" i="2"/>
  <c r="R2377" i="2"/>
  <c r="R2378" i="2"/>
  <c r="R2379" i="2"/>
  <c r="R2380" i="2"/>
  <c r="R2381" i="2"/>
  <c r="R2382" i="2"/>
  <c r="R2383" i="2"/>
  <c r="R2384" i="2"/>
  <c r="R2385" i="2"/>
  <c r="R2386" i="2"/>
  <c r="R2387" i="2"/>
  <c r="R2388" i="2"/>
  <c r="R2389" i="2"/>
  <c r="R2390" i="2"/>
  <c r="R2391" i="2"/>
  <c r="R2392" i="2"/>
  <c r="R2393" i="2"/>
  <c r="R2394" i="2"/>
  <c r="R2395" i="2"/>
  <c r="R2396" i="2"/>
  <c r="R2397" i="2"/>
  <c r="R2398" i="2"/>
  <c r="R2399" i="2"/>
  <c r="R2400" i="2"/>
  <c r="R2401" i="2"/>
  <c r="R2402" i="2"/>
  <c r="R2403" i="2"/>
  <c r="R2404" i="2"/>
  <c r="R2405" i="2"/>
  <c r="R2406" i="2"/>
  <c r="R2407" i="2"/>
  <c r="R2408" i="2"/>
  <c r="R2409" i="2"/>
  <c r="R2410" i="2"/>
  <c r="R2411" i="2"/>
  <c r="R2412" i="2"/>
  <c r="R2413" i="2"/>
  <c r="R2414" i="2"/>
  <c r="R2415" i="2"/>
  <c r="R2416" i="2"/>
  <c r="R2417" i="2"/>
  <c r="R2418" i="2"/>
  <c r="R2419" i="2"/>
  <c r="R2420" i="2"/>
  <c r="R2421" i="2"/>
  <c r="R2422" i="2"/>
  <c r="R2423" i="2"/>
  <c r="R2424" i="2"/>
  <c r="R2425" i="2"/>
  <c r="R2426" i="2"/>
  <c r="R2427" i="2"/>
  <c r="R2428" i="2"/>
  <c r="R2429" i="2"/>
  <c r="R2430" i="2"/>
  <c r="R2431" i="2"/>
  <c r="R2432" i="2"/>
  <c r="R2433" i="2"/>
  <c r="R2434" i="2"/>
  <c r="R2435" i="2"/>
  <c r="R2436" i="2"/>
  <c r="R2437" i="2"/>
  <c r="R2438" i="2"/>
  <c r="R2439" i="2"/>
  <c r="R2440" i="2"/>
  <c r="R2441" i="2"/>
  <c r="R2442" i="2"/>
  <c r="R2443" i="2"/>
  <c r="R2444" i="2"/>
  <c r="R2445" i="2"/>
  <c r="R2446" i="2"/>
  <c r="R2447" i="2"/>
  <c r="R2448" i="2"/>
  <c r="R2449" i="2"/>
  <c r="R2450" i="2"/>
  <c r="R2451" i="2"/>
  <c r="R2452" i="2"/>
  <c r="R2453" i="2"/>
  <c r="R2454" i="2"/>
  <c r="R2455" i="2"/>
  <c r="R2456" i="2"/>
  <c r="R2457" i="2"/>
  <c r="R2458" i="2"/>
  <c r="R2459" i="2"/>
  <c r="R2460" i="2"/>
  <c r="R2461" i="2"/>
  <c r="R2462" i="2"/>
  <c r="R2463" i="2"/>
  <c r="R2464" i="2"/>
  <c r="R2465" i="2"/>
  <c r="R2466" i="2"/>
  <c r="R2467" i="2"/>
  <c r="R2468" i="2"/>
  <c r="R2469" i="2"/>
  <c r="R2470" i="2"/>
  <c r="R2471" i="2"/>
  <c r="R2472" i="2"/>
  <c r="R2473" i="2"/>
  <c r="R2474" i="2"/>
  <c r="R2475" i="2"/>
  <c r="R2476" i="2"/>
  <c r="R2477" i="2"/>
  <c r="R2478" i="2"/>
  <c r="R2479" i="2"/>
  <c r="R2480" i="2"/>
  <c r="R2481" i="2"/>
  <c r="R2482" i="2"/>
  <c r="R2483" i="2"/>
  <c r="R2484" i="2"/>
  <c r="R2485" i="2"/>
  <c r="R2486" i="2"/>
  <c r="R2487" i="2"/>
  <c r="R2488" i="2"/>
  <c r="R2489" i="2"/>
  <c r="R2490" i="2"/>
  <c r="R2491" i="2"/>
  <c r="R2492" i="2"/>
  <c r="R2493" i="2"/>
  <c r="R2494" i="2"/>
  <c r="R2495" i="2"/>
  <c r="R2496" i="2"/>
  <c r="R2497" i="2"/>
  <c r="R2498" i="2"/>
  <c r="R2499" i="2"/>
  <c r="R2500" i="2"/>
  <c r="R2501" i="2"/>
  <c r="R2502" i="2"/>
  <c r="R2503" i="2"/>
  <c r="R2504" i="2"/>
  <c r="R2505" i="2"/>
  <c r="R2506" i="2"/>
  <c r="R2507" i="2"/>
  <c r="R2508" i="2"/>
  <c r="R2509" i="2"/>
  <c r="R2510" i="2"/>
  <c r="R2511" i="2"/>
  <c r="R2512" i="2"/>
  <c r="R2513" i="2"/>
  <c r="R2514" i="2"/>
  <c r="R2515" i="2"/>
  <c r="R2516" i="2"/>
  <c r="R2517" i="2"/>
  <c r="R2518" i="2"/>
  <c r="R2519" i="2"/>
  <c r="R2520" i="2"/>
  <c r="R2521" i="2"/>
  <c r="R2522" i="2"/>
  <c r="R2523" i="2"/>
  <c r="R2524" i="2"/>
  <c r="R2525" i="2"/>
  <c r="R2526" i="2"/>
  <c r="R2527" i="2"/>
  <c r="R2528" i="2"/>
  <c r="R2529" i="2"/>
  <c r="R2530" i="2"/>
  <c r="R2531" i="2"/>
  <c r="R2532" i="2"/>
  <c r="R2533" i="2"/>
  <c r="R2534" i="2"/>
  <c r="R2535" i="2"/>
  <c r="R2536" i="2"/>
  <c r="R2537" i="2"/>
  <c r="R2538" i="2"/>
  <c r="R2539" i="2"/>
  <c r="R2540" i="2"/>
  <c r="R2541" i="2"/>
  <c r="R2542" i="2"/>
  <c r="R2543" i="2"/>
  <c r="R2544" i="2"/>
  <c r="R2545" i="2"/>
  <c r="R2546" i="2"/>
  <c r="R2547" i="2"/>
  <c r="R2548" i="2"/>
  <c r="R2549" i="2"/>
  <c r="R2550" i="2"/>
  <c r="R2551" i="2"/>
  <c r="R2552" i="2"/>
  <c r="R2553" i="2"/>
  <c r="R2554" i="2"/>
  <c r="R2555" i="2"/>
  <c r="R2556" i="2"/>
  <c r="R2557" i="2"/>
  <c r="R2558" i="2"/>
  <c r="R2559" i="2"/>
  <c r="R2560" i="2"/>
  <c r="R2561" i="2"/>
  <c r="R2562" i="2"/>
  <c r="R2563" i="2"/>
  <c r="R2564" i="2"/>
  <c r="R2565" i="2"/>
  <c r="R2566" i="2"/>
  <c r="R2567" i="2"/>
  <c r="R2568" i="2"/>
  <c r="R2569" i="2"/>
  <c r="R2570" i="2"/>
  <c r="R2571" i="2"/>
  <c r="R2572" i="2"/>
  <c r="R2573" i="2"/>
  <c r="R2574" i="2"/>
  <c r="R2575" i="2"/>
  <c r="R2576" i="2"/>
  <c r="R2577" i="2"/>
  <c r="R2578" i="2"/>
  <c r="R2579" i="2"/>
  <c r="R2580" i="2"/>
  <c r="R2581" i="2"/>
  <c r="R2582" i="2"/>
  <c r="R2583" i="2"/>
  <c r="R2584" i="2"/>
  <c r="R2585" i="2"/>
  <c r="R2586" i="2"/>
  <c r="R2587" i="2"/>
  <c r="R2588" i="2"/>
  <c r="R2589" i="2"/>
  <c r="R2590" i="2"/>
  <c r="R2591" i="2"/>
  <c r="R2592" i="2"/>
  <c r="R2593" i="2"/>
  <c r="R2594" i="2"/>
  <c r="R2595" i="2"/>
  <c r="R2596" i="2"/>
  <c r="R2597" i="2"/>
  <c r="R2598" i="2"/>
  <c r="R2599" i="2"/>
  <c r="R2600" i="2"/>
  <c r="R2601" i="2"/>
  <c r="R2602" i="2"/>
  <c r="R2603" i="2"/>
  <c r="R2604" i="2"/>
  <c r="R2605" i="2"/>
  <c r="R2606" i="2"/>
  <c r="R2607" i="2"/>
  <c r="R2608" i="2"/>
  <c r="R2609" i="2"/>
  <c r="R2610" i="2"/>
  <c r="R2611" i="2"/>
  <c r="R2612" i="2"/>
  <c r="R2613" i="2"/>
  <c r="R2614" i="2"/>
  <c r="R2615" i="2"/>
  <c r="R2616" i="2"/>
  <c r="R2617" i="2"/>
  <c r="R2618" i="2"/>
  <c r="R2619" i="2"/>
  <c r="R2620" i="2"/>
  <c r="R2621" i="2"/>
  <c r="R2622" i="2"/>
  <c r="R2623" i="2"/>
  <c r="R2624" i="2"/>
  <c r="R2625" i="2"/>
  <c r="R2626" i="2"/>
  <c r="R2627" i="2"/>
  <c r="R2628" i="2"/>
  <c r="R2629" i="2"/>
  <c r="R2630" i="2"/>
  <c r="R2631" i="2"/>
  <c r="R2632" i="2"/>
  <c r="R2633" i="2"/>
  <c r="R2634" i="2"/>
  <c r="R2635" i="2"/>
  <c r="R2636" i="2"/>
  <c r="R2637" i="2"/>
  <c r="R2638" i="2"/>
  <c r="R2639" i="2"/>
  <c r="R2640" i="2"/>
  <c r="R2641" i="2"/>
  <c r="R2642" i="2"/>
  <c r="R2643" i="2"/>
  <c r="R2644" i="2"/>
  <c r="R2645" i="2"/>
  <c r="R2646" i="2"/>
  <c r="R2647" i="2"/>
  <c r="R2648" i="2"/>
  <c r="R2649" i="2"/>
  <c r="R2650" i="2"/>
  <c r="R2651" i="2"/>
  <c r="R2652" i="2"/>
  <c r="R2653" i="2"/>
  <c r="R2654" i="2"/>
  <c r="R2655" i="2"/>
  <c r="R2656" i="2"/>
  <c r="R2657" i="2"/>
  <c r="R2658" i="2"/>
  <c r="R2659" i="2"/>
  <c r="R2660" i="2"/>
  <c r="R2661" i="2"/>
  <c r="R2662" i="2"/>
  <c r="R2663" i="2"/>
  <c r="R2664" i="2"/>
  <c r="R2665" i="2"/>
  <c r="R2666" i="2"/>
  <c r="R2667" i="2"/>
  <c r="R2668" i="2"/>
  <c r="R2669" i="2"/>
  <c r="R2670" i="2"/>
  <c r="R2671" i="2"/>
  <c r="R2672" i="2"/>
  <c r="R2673" i="2"/>
  <c r="R2674" i="2"/>
  <c r="R2675" i="2"/>
  <c r="R2676" i="2"/>
  <c r="R2677" i="2"/>
  <c r="R2678" i="2"/>
  <c r="R2679" i="2"/>
  <c r="R2680" i="2"/>
  <c r="R2681" i="2"/>
  <c r="R2682" i="2"/>
  <c r="R2683" i="2"/>
  <c r="R2684" i="2"/>
  <c r="R2685" i="2"/>
  <c r="R2686" i="2"/>
  <c r="R2687" i="2"/>
  <c r="R2688" i="2"/>
  <c r="R2689" i="2"/>
  <c r="R2690" i="2"/>
  <c r="R2691" i="2"/>
  <c r="R2692" i="2"/>
  <c r="R2693" i="2"/>
  <c r="R2694" i="2"/>
  <c r="R2695" i="2"/>
  <c r="R2696" i="2"/>
  <c r="R2697" i="2"/>
  <c r="R2698" i="2"/>
  <c r="R2699" i="2"/>
  <c r="R2700" i="2"/>
  <c r="R2701" i="2"/>
  <c r="R2702" i="2"/>
  <c r="R2703" i="2"/>
  <c r="R2704" i="2"/>
  <c r="R2705" i="2"/>
  <c r="R2706" i="2"/>
  <c r="R2707" i="2"/>
  <c r="R2708" i="2"/>
  <c r="R2709" i="2"/>
  <c r="R2710" i="2"/>
  <c r="R2711" i="2"/>
  <c r="R2712" i="2"/>
  <c r="R2713" i="2"/>
  <c r="R2714" i="2"/>
  <c r="R2715" i="2"/>
  <c r="R2716" i="2"/>
  <c r="R2717" i="2"/>
  <c r="R2718" i="2"/>
  <c r="R2719" i="2"/>
  <c r="R2720" i="2"/>
  <c r="R2721" i="2"/>
  <c r="R2722" i="2"/>
  <c r="R2723" i="2"/>
  <c r="R2724" i="2"/>
  <c r="R2725" i="2"/>
  <c r="R2726" i="2"/>
  <c r="R2727" i="2"/>
  <c r="R2728" i="2"/>
  <c r="R2729" i="2"/>
  <c r="R2730" i="2"/>
  <c r="R2731" i="2"/>
  <c r="R2732" i="2"/>
  <c r="R2733" i="2"/>
  <c r="R2734" i="2"/>
  <c r="R2735" i="2"/>
  <c r="R2736" i="2"/>
  <c r="R2737" i="2"/>
  <c r="R2738" i="2"/>
  <c r="R2739" i="2"/>
  <c r="R2740" i="2"/>
  <c r="R2741" i="2"/>
  <c r="R2742" i="2"/>
  <c r="R2743" i="2"/>
  <c r="R2744" i="2"/>
  <c r="R2745" i="2"/>
  <c r="R2746" i="2"/>
  <c r="R2747" i="2"/>
  <c r="R2748" i="2"/>
  <c r="R2749" i="2"/>
  <c r="R2750" i="2"/>
  <c r="R2751" i="2"/>
  <c r="R2752" i="2"/>
  <c r="R2753" i="2"/>
  <c r="R2754" i="2"/>
  <c r="R2755" i="2"/>
  <c r="R2756" i="2"/>
  <c r="R2757" i="2"/>
  <c r="R2758" i="2"/>
  <c r="R2759" i="2"/>
  <c r="R2760" i="2"/>
  <c r="R2761" i="2"/>
  <c r="R2762" i="2"/>
  <c r="R2763" i="2"/>
  <c r="R2764" i="2"/>
  <c r="R2765" i="2"/>
  <c r="R2766" i="2"/>
  <c r="R2767" i="2"/>
  <c r="R2768" i="2"/>
  <c r="R2769" i="2"/>
  <c r="R2770" i="2"/>
  <c r="R2771" i="2"/>
  <c r="R2772" i="2"/>
  <c r="R2773" i="2"/>
  <c r="R2774" i="2"/>
  <c r="R2775" i="2"/>
  <c r="R2776" i="2"/>
  <c r="R2777" i="2"/>
  <c r="R2778" i="2"/>
  <c r="R2779" i="2"/>
  <c r="R2780" i="2"/>
  <c r="R2781" i="2"/>
  <c r="R2782" i="2"/>
  <c r="R2783" i="2"/>
  <c r="R2784" i="2"/>
  <c r="R2785" i="2"/>
  <c r="D2" i="4"/>
  <c r="F2" i="4"/>
  <c r="D10" i="4"/>
  <c r="E10" i="4" s="1"/>
  <c r="F10" i="4"/>
  <c r="G10" i="4"/>
  <c r="H10" i="4"/>
  <c r="K10" i="4"/>
  <c r="L10" i="4" s="1"/>
  <c r="N10" i="4"/>
  <c r="Q10" i="4"/>
  <c r="T10" i="4"/>
  <c r="D11" i="4"/>
  <c r="E11" i="4" s="1"/>
  <c r="F11" i="4"/>
  <c r="G11" i="4" s="1"/>
  <c r="H11" i="4"/>
  <c r="K11" i="4"/>
  <c r="N11" i="4"/>
  <c r="O11" i="4" s="1"/>
  <c r="Q11" i="4"/>
  <c r="T11" i="4"/>
  <c r="D12" i="4"/>
  <c r="E12" i="4" s="1"/>
  <c r="F12" i="4"/>
  <c r="G12" i="4" s="1"/>
  <c r="G13" i="4" s="1"/>
  <c r="H12" i="4"/>
  <c r="K12" i="4"/>
  <c r="N12" i="4"/>
  <c r="O12" i="4" s="1"/>
  <c r="Q12" i="4"/>
  <c r="R12" i="4" s="1"/>
  <c r="T12" i="4"/>
  <c r="J13" i="4"/>
  <c r="M13" i="4"/>
  <c r="P13" i="4"/>
  <c r="S13" i="4"/>
  <c r="V13" i="4"/>
  <c r="D14" i="4"/>
  <c r="E14" i="4" s="1"/>
  <c r="F14" i="4"/>
  <c r="G14" i="4" s="1"/>
  <c r="H14" i="4"/>
  <c r="K14" i="4"/>
  <c r="N14" i="4"/>
  <c r="O14" i="4" s="1"/>
  <c r="Q14" i="4"/>
  <c r="R14" i="4" s="1"/>
  <c r="T14" i="4"/>
  <c r="D15" i="4"/>
  <c r="E15" i="4" s="1"/>
  <c r="F15" i="4"/>
  <c r="G15" i="4" s="1"/>
  <c r="H15" i="4"/>
  <c r="K15" i="4"/>
  <c r="N15" i="4"/>
  <c r="O15" i="4" s="1"/>
  <c r="Q15" i="4"/>
  <c r="T15" i="4"/>
  <c r="J16" i="4"/>
  <c r="M16" i="4"/>
  <c r="P16" i="4"/>
  <c r="S16" i="4"/>
  <c r="V16" i="4"/>
  <c r="D17" i="4"/>
  <c r="E17" i="4" s="1"/>
  <c r="F17" i="4"/>
  <c r="G17" i="4" s="1"/>
  <c r="H17" i="4"/>
  <c r="K17" i="4"/>
  <c r="N17" i="4"/>
  <c r="O17" i="4" s="1"/>
  <c r="Q17" i="4"/>
  <c r="T17" i="4"/>
  <c r="U17" i="4" s="1"/>
  <c r="D18" i="4"/>
  <c r="E18" i="4" s="1"/>
  <c r="F18" i="4"/>
  <c r="G18" i="4" s="1"/>
  <c r="H18" i="4"/>
  <c r="K18" i="4"/>
  <c r="N18" i="4"/>
  <c r="O18" i="4" s="1"/>
  <c r="Q18" i="4"/>
  <c r="R18" i="4" s="1"/>
  <c r="T18" i="4"/>
  <c r="U18" i="4" s="1"/>
  <c r="D19" i="4"/>
  <c r="E19" i="4" s="1"/>
  <c r="F19" i="4"/>
  <c r="H19" i="4"/>
  <c r="K19" i="4"/>
  <c r="L19" i="4" s="1"/>
  <c r="N19" i="4"/>
  <c r="Q19" i="4"/>
  <c r="T19" i="4"/>
  <c r="D20" i="4"/>
  <c r="E20" i="4" s="1"/>
  <c r="F20" i="4"/>
  <c r="H20" i="4"/>
  <c r="K20" i="4"/>
  <c r="N20" i="4"/>
  <c r="Q20" i="4"/>
  <c r="T20" i="4"/>
  <c r="D21" i="4"/>
  <c r="E21" i="4" s="1"/>
  <c r="F21" i="4"/>
  <c r="H21" i="4"/>
  <c r="K21" i="4"/>
  <c r="N21" i="4"/>
  <c r="Q21" i="4"/>
  <c r="T21" i="4"/>
  <c r="D22" i="4"/>
  <c r="E22" i="4" s="1"/>
  <c r="F22" i="4"/>
  <c r="G22" i="4" s="1"/>
  <c r="G23" i="4" s="1"/>
  <c r="H22" i="4"/>
  <c r="K22" i="4"/>
  <c r="L22" i="4" s="1"/>
  <c r="N22" i="4"/>
  <c r="Q22" i="4"/>
  <c r="R22" i="4" s="1"/>
  <c r="T22" i="4"/>
  <c r="U22" i="4" s="1"/>
  <c r="E23" i="4"/>
  <c r="D24" i="4"/>
  <c r="E24" i="4" s="1"/>
  <c r="F24" i="4"/>
  <c r="H24" i="4"/>
  <c r="K24" i="4"/>
  <c r="N24" i="4"/>
  <c r="Q24" i="4"/>
  <c r="T24" i="4"/>
  <c r="D25" i="4"/>
  <c r="E25" i="4" s="1"/>
  <c r="F25" i="4"/>
  <c r="G25" i="4" s="1"/>
  <c r="H25" i="4"/>
  <c r="K25" i="4"/>
  <c r="N25" i="4"/>
  <c r="Q25" i="4"/>
  <c r="T25" i="4"/>
  <c r="D26" i="4"/>
  <c r="E26" i="4" s="1"/>
  <c r="F26" i="4"/>
  <c r="G26" i="4" s="1"/>
  <c r="H26" i="4"/>
  <c r="K26" i="4"/>
  <c r="N26" i="4"/>
  <c r="O26" i="4" s="1"/>
  <c r="Q26" i="4"/>
  <c r="R26" i="4" s="1"/>
  <c r="T26" i="4"/>
  <c r="J29" i="4"/>
  <c r="M29" i="4"/>
  <c r="P29" i="4"/>
  <c r="S29" i="4"/>
  <c r="V29" i="4"/>
  <c r="D30" i="4"/>
  <c r="E30" i="4" s="1"/>
  <c r="F30" i="4"/>
  <c r="G30" i="4" s="1"/>
  <c r="H30" i="4"/>
  <c r="K30" i="4"/>
  <c r="N30" i="4"/>
  <c r="O30" i="4" s="1"/>
  <c r="Q30" i="4"/>
  <c r="R30" i="4" s="1"/>
  <c r="T30" i="4"/>
  <c r="D32" i="4"/>
  <c r="E32" i="4" s="1"/>
  <c r="F32" i="4"/>
  <c r="G32" i="4" s="1"/>
  <c r="H32" i="4"/>
  <c r="K32" i="4"/>
  <c r="N32" i="4"/>
  <c r="O32" i="4" s="1"/>
  <c r="Q32" i="4"/>
  <c r="T32" i="4"/>
  <c r="D37" i="4"/>
  <c r="E37" i="4" s="1"/>
  <c r="F37" i="4"/>
  <c r="G37" i="4"/>
  <c r="I37" i="4"/>
  <c r="J37" i="4"/>
  <c r="L37" i="4"/>
  <c r="M37" i="4"/>
  <c r="O37" i="4"/>
  <c r="P37" i="4"/>
  <c r="R37" i="4"/>
  <c r="S37" i="4"/>
  <c r="U37" i="4"/>
  <c r="V37" i="4"/>
  <c r="W37" i="4"/>
  <c r="X37" i="4"/>
  <c r="Y37" i="4"/>
  <c r="Z37" i="4"/>
  <c r="AA37" i="4"/>
  <c r="AB37" i="4"/>
  <c r="AC37" i="4"/>
  <c r="AD37" i="4"/>
  <c r="D38" i="4"/>
  <c r="E38" i="4" s="1"/>
  <c r="F38" i="4"/>
  <c r="G38" i="4" s="1"/>
  <c r="I38" i="4"/>
  <c r="J38" i="4" s="1"/>
  <c r="L38" i="4"/>
  <c r="M38" i="4" s="1"/>
  <c r="O38" i="4"/>
  <c r="P38" i="4" s="1"/>
  <c r="R38" i="4"/>
  <c r="S38" i="4" s="1"/>
  <c r="U38" i="4"/>
  <c r="V38" i="4" s="1"/>
  <c r="W38" i="4"/>
  <c r="X38" i="4" s="1"/>
  <c r="Y38" i="4"/>
  <c r="Z38" i="4" s="1"/>
  <c r="AA38" i="4"/>
  <c r="AB38" i="4" s="1"/>
  <c r="AC38" i="4"/>
  <c r="AD38" i="4" s="1"/>
  <c r="D39" i="4"/>
  <c r="E39" i="4" s="1"/>
  <c r="F39" i="4"/>
  <c r="G39" i="4" s="1"/>
  <c r="I39" i="4"/>
  <c r="J39" i="4" s="1"/>
  <c r="L39" i="4"/>
  <c r="M39" i="4" s="1"/>
  <c r="O39" i="4"/>
  <c r="P39" i="4" s="1"/>
  <c r="R39" i="4"/>
  <c r="S39" i="4" s="1"/>
  <c r="U39" i="4"/>
  <c r="V39" i="4" s="1"/>
  <c r="W39" i="4"/>
  <c r="X39" i="4" s="1"/>
  <c r="X40" i="4" s="1"/>
  <c r="Y39" i="4"/>
  <c r="Z39" i="4" s="1"/>
  <c r="AA39" i="4"/>
  <c r="AB39" i="4" s="1"/>
  <c r="AC39" i="4"/>
  <c r="AD39" i="4" s="1"/>
  <c r="H40" i="4"/>
  <c r="K40" i="4"/>
  <c r="N40" i="4"/>
  <c r="Q40" i="4"/>
  <c r="T40" i="4"/>
  <c r="D41" i="4"/>
  <c r="E41" i="4" s="1"/>
  <c r="F41" i="4"/>
  <c r="G41" i="4" s="1"/>
  <c r="I41" i="4"/>
  <c r="J41" i="4" s="1"/>
  <c r="L41" i="4"/>
  <c r="M41" i="4" s="1"/>
  <c r="O41" i="4"/>
  <c r="P41" i="4" s="1"/>
  <c r="R41" i="4"/>
  <c r="S41" i="4" s="1"/>
  <c r="U41" i="4"/>
  <c r="V41" i="4" s="1"/>
  <c r="W41" i="4"/>
  <c r="X41" i="4" s="1"/>
  <c r="Y41" i="4"/>
  <c r="Z41" i="4" s="1"/>
  <c r="AA41" i="4"/>
  <c r="AB41" i="4" s="1"/>
  <c r="AC41" i="4"/>
  <c r="AD41" i="4" s="1"/>
  <c r="D42" i="4"/>
  <c r="E42" i="4" s="1"/>
  <c r="F42" i="4"/>
  <c r="G42" i="4" s="1"/>
  <c r="I42" i="4"/>
  <c r="J42" i="4" s="1"/>
  <c r="L42" i="4"/>
  <c r="M42" i="4" s="1"/>
  <c r="O42" i="4"/>
  <c r="P42" i="4" s="1"/>
  <c r="R42" i="4"/>
  <c r="S42" i="4" s="1"/>
  <c r="U42" i="4"/>
  <c r="V42" i="4" s="1"/>
  <c r="W42" i="4"/>
  <c r="X42" i="4" s="1"/>
  <c r="Y42" i="4"/>
  <c r="Z42" i="4" s="1"/>
  <c r="AA42" i="4"/>
  <c r="AB42" i="4"/>
  <c r="AC42" i="4"/>
  <c r="AD42" i="4" s="1"/>
  <c r="H43" i="4"/>
  <c r="K43" i="4"/>
  <c r="N43" i="4"/>
  <c r="Q43" i="4"/>
  <c r="T43" i="4"/>
  <c r="D44" i="4"/>
  <c r="E44" i="4" s="1"/>
  <c r="F44" i="4"/>
  <c r="G44" i="4" s="1"/>
  <c r="I44" i="4"/>
  <c r="J44" i="4" s="1"/>
  <c r="L44" i="4"/>
  <c r="M44" i="4" s="1"/>
  <c r="O44" i="4"/>
  <c r="P44" i="4" s="1"/>
  <c r="R44" i="4"/>
  <c r="S44" i="4" s="1"/>
  <c r="U44" i="4"/>
  <c r="V44" i="4"/>
  <c r="W44" i="4"/>
  <c r="X44" i="4" s="1"/>
  <c r="Y44" i="4"/>
  <c r="Z44" i="4" s="1"/>
  <c r="AA44" i="4"/>
  <c r="AB44" i="4" s="1"/>
  <c r="AC44" i="4"/>
  <c r="AD44" i="4" s="1"/>
  <c r="D45" i="4"/>
  <c r="E45" i="4" s="1"/>
  <c r="F45" i="4"/>
  <c r="G45" i="4" s="1"/>
  <c r="I45" i="4"/>
  <c r="J45" i="4" s="1"/>
  <c r="L45" i="4"/>
  <c r="M45" i="4" s="1"/>
  <c r="O45" i="4"/>
  <c r="P45" i="4" s="1"/>
  <c r="R45" i="4"/>
  <c r="S45" i="4" s="1"/>
  <c r="U45" i="4"/>
  <c r="V45" i="4" s="1"/>
  <c r="W45" i="4"/>
  <c r="X45" i="4" s="1"/>
  <c r="Y45" i="4"/>
  <c r="Z45" i="4" s="1"/>
  <c r="AA45" i="4"/>
  <c r="AB45" i="4" s="1"/>
  <c r="AC45" i="4"/>
  <c r="AD45" i="4" s="1"/>
  <c r="D46" i="4"/>
  <c r="E46" i="4" s="1"/>
  <c r="F46" i="4"/>
  <c r="I46" i="4"/>
  <c r="L46" i="4"/>
  <c r="O46" i="4"/>
  <c r="R46" i="4"/>
  <c r="U46" i="4"/>
  <c r="W46" i="4"/>
  <c r="Y46" i="4"/>
  <c r="AA46" i="4"/>
  <c r="AC46" i="4"/>
  <c r="D47" i="4"/>
  <c r="E47" i="4" s="1"/>
  <c r="F47" i="4"/>
  <c r="I47" i="4"/>
  <c r="L47" i="4"/>
  <c r="O47" i="4"/>
  <c r="R47" i="4"/>
  <c r="U47" i="4"/>
  <c r="W47" i="4"/>
  <c r="Y47" i="4"/>
  <c r="AA47" i="4"/>
  <c r="AC47" i="4"/>
  <c r="D48" i="4"/>
  <c r="E48" i="4" s="1"/>
  <c r="F48" i="4"/>
  <c r="I48" i="4"/>
  <c r="L48" i="4"/>
  <c r="O48" i="4"/>
  <c r="R48" i="4"/>
  <c r="U48" i="4"/>
  <c r="W48" i="4"/>
  <c r="Y48" i="4"/>
  <c r="AA48" i="4"/>
  <c r="AC48" i="4"/>
  <c r="D49" i="4"/>
  <c r="E49" i="4" s="1"/>
  <c r="E50" i="4" s="1"/>
  <c r="F49" i="4"/>
  <c r="G49" i="4" s="1"/>
  <c r="G50" i="4" s="1"/>
  <c r="I49" i="4"/>
  <c r="J49" i="4" s="1"/>
  <c r="J50" i="4" s="1"/>
  <c r="L49" i="4"/>
  <c r="M49" i="4" s="1"/>
  <c r="M50" i="4" s="1"/>
  <c r="O49" i="4"/>
  <c r="P49" i="4" s="1"/>
  <c r="P50" i="4" s="1"/>
  <c r="R49" i="4"/>
  <c r="S49" i="4"/>
  <c r="S50" i="4" s="1"/>
  <c r="U49" i="4"/>
  <c r="V49" i="4" s="1"/>
  <c r="V50" i="4" s="1"/>
  <c r="W49" i="4"/>
  <c r="X49" i="4" s="1"/>
  <c r="Y49" i="4"/>
  <c r="Z49" i="4" s="1"/>
  <c r="Z50" i="4" s="1"/>
  <c r="AA49" i="4"/>
  <c r="AB49" i="4" s="1"/>
  <c r="AB50" i="4" s="1"/>
  <c r="AC49" i="4"/>
  <c r="AD49" i="4" s="1"/>
  <c r="AD50" i="4" s="1"/>
  <c r="D51" i="4"/>
  <c r="E51" i="4" s="1"/>
  <c r="F51" i="4"/>
  <c r="G51" i="4" s="1"/>
  <c r="I51" i="4"/>
  <c r="J51" i="4" s="1"/>
  <c r="L51" i="4"/>
  <c r="M51" i="4" s="1"/>
  <c r="O51" i="4"/>
  <c r="P51" i="4" s="1"/>
  <c r="R51" i="4"/>
  <c r="S51" i="4" s="1"/>
  <c r="U51" i="4"/>
  <c r="V51" i="4" s="1"/>
  <c r="W51" i="4"/>
  <c r="X51" i="4" s="1"/>
  <c r="Y51" i="4"/>
  <c r="Z51" i="4" s="1"/>
  <c r="AA51" i="4"/>
  <c r="AB51" i="4" s="1"/>
  <c r="AC51" i="4"/>
  <c r="AD51" i="4" s="1"/>
  <c r="D52" i="4"/>
  <c r="E52" i="4" s="1"/>
  <c r="F52" i="4"/>
  <c r="G52" i="4" s="1"/>
  <c r="I52" i="4"/>
  <c r="J52" i="4" s="1"/>
  <c r="L52" i="4"/>
  <c r="M52" i="4" s="1"/>
  <c r="O52" i="4"/>
  <c r="P52" i="4" s="1"/>
  <c r="R52" i="4"/>
  <c r="S52" i="4" s="1"/>
  <c r="U52" i="4"/>
  <c r="V52" i="4" s="1"/>
  <c r="W52" i="4"/>
  <c r="X52" i="4" s="1"/>
  <c r="Y52" i="4"/>
  <c r="Z52" i="4" s="1"/>
  <c r="AA52" i="4"/>
  <c r="AB52" i="4" s="1"/>
  <c r="AC52" i="4"/>
  <c r="AD52" i="4" s="1"/>
  <c r="D53" i="4"/>
  <c r="E53" i="4" s="1"/>
  <c r="F53" i="4"/>
  <c r="G53" i="4" s="1"/>
  <c r="I53" i="4"/>
  <c r="J53" i="4" s="1"/>
  <c r="L53" i="4"/>
  <c r="M53" i="4" s="1"/>
  <c r="O53" i="4"/>
  <c r="P53" i="4" s="1"/>
  <c r="R53" i="4"/>
  <c r="S53" i="4" s="1"/>
  <c r="U53" i="4"/>
  <c r="V53" i="4" s="1"/>
  <c r="W53" i="4"/>
  <c r="X53" i="4" s="1"/>
  <c r="Y53" i="4"/>
  <c r="Z53" i="4" s="1"/>
  <c r="AA53" i="4"/>
  <c r="AB53" i="4" s="1"/>
  <c r="AC53" i="4"/>
  <c r="AD53" i="4" s="1"/>
  <c r="F54" i="4"/>
  <c r="G54" i="4" s="1"/>
  <c r="H56" i="4"/>
  <c r="K56" i="4"/>
  <c r="N56" i="4"/>
  <c r="Q56" i="4"/>
  <c r="T56" i="4"/>
  <c r="D57" i="4"/>
  <c r="E57" i="4" s="1"/>
  <c r="F57" i="4"/>
  <c r="G57" i="4" s="1"/>
  <c r="I57" i="4"/>
  <c r="J57" i="4" s="1"/>
  <c r="L57" i="4"/>
  <c r="M57" i="4" s="1"/>
  <c r="O57" i="4"/>
  <c r="P57" i="4" s="1"/>
  <c r="R57" i="4"/>
  <c r="S57" i="4" s="1"/>
  <c r="U57" i="4"/>
  <c r="V57" i="4"/>
  <c r="W57" i="4"/>
  <c r="X57" i="4" s="1"/>
  <c r="Y57" i="4"/>
  <c r="Z57" i="4" s="1"/>
  <c r="AA57" i="4"/>
  <c r="AB57" i="4" s="1"/>
  <c r="AC57" i="4"/>
  <c r="AD57" i="4" s="1"/>
  <c r="D59" i="4"/>
  <c r="E59" i="4" s="1"/>
  <c r="F59" i="4"/>
  <c r="G59" i="4" s="1"/>
  <c r="I59" i="4"/>
  <c r="J59" i="4" s="1"/>
  <c r="L59" i="4"/>
  <c r="M59" i="4" s="1"/>
  <c r="O59" i="4"/>
  <c r="P59" i="4" s="1"/>
  <c r="R59" i="4"/>
  <c r="S59" i="4" s="1"/>
  <c r="U59" i="4"/>
  <c r="V59" i="4" s="1"/>
  <c r="W59" i="4"/>
  <c r="X59" i="4" s="1"/>
  <c r="Y59" i="4"/>
  <c r="Z59" i="4" s="1"/>
  <c r="AA59" i="4"/>
  <c r="AB59" i="4" s="1"/>
  <c r="AC59" i="4"/>
  <c r="AD59" i="4" s="1"/>
  <c r="R2" i="2"/>
  <c r="AB47" i="4" s="1"/>
  <c r="AB40" i="4" l="1"/>
  <c r="S40" i="4"/>
  <c r="U19" i="4"/>
  <c r="U11" i="4"/>
  <c r="R10" i="4"/>
  <c r="X50" i="4"/>
  <c r="G43" i="4"/>
  <c r="U26" i="4"/>
  <c r="I26" i="4"/>
  <c r="N27" i="4"/>
  <c r="I14" i="4"/>
  <c r="U12" i="4"/>
  <c r="I12" i="4"/>
  <c r="R11" i="4"/>
  <c r="O10" i="4"/>
  <c r="R15" i="4"/>
  <c r="U10" i="4"/>
  <c r="P40" i="4"/>
  <c r="AD43" i="4"/>
  <c r="L25" i="4"/>
  <c r="U24" i="4"/>
  <c r="I24" i="4"/>
  <c r="U20" i="4"/>
  <c r="R19" i="4"/>
  <c r="I32" i="4"/>
  <c r="H27" i="4"/>
  <c r="U25" i="4"/>
  <c r="I25" i="4"/>
  <c r="U21" i="4"/>
  <c r="S43" i="4"/>
  <c r="R32" i="4"/>
  <c r="R25" i="4"/>
  <c r="O24" i="4"/>
  <c r="R21" i="4"/>
  <c r="L11" i="4"/>
  <c r="U32" i="4"/>
  <c r="I20" i="4"/>
  <c r="I21" i="4"/>
  <c r="R20" i="4"/>
  <c r="O19" i="4"/>
  <c r="I19" i="4"/>
  <c r="R23" i="4"/>
  <c r="I22" i="4"/>
  <c r="E13" i="4"/>
  <c r="Z43" i="4"/>
  <c r="E43" i="4"/>
  <c r="O22" i="4"/>
  <c r="O23" i="4" s="1"/>
  <c r="L20" i="4"/>
  <c r="L18" i="4"/>
  <c r="L17" i="4"/>
  <c r="E16" i="4"/>
  <c r="AA54" i="4"/>
  <c r="AB54" i="4" s="1"/>
  <c r="V43" i="4"/>
  <c r="E40" i="4"/>
  <c r="I18" i="4"/>
  <c r="I17" i="4"/>
  <c r="U15" i="4"/>
  <c r="L15" i="4"/>
  <c r="U14" i="4"/>
  <c r="L14" i="4"/>
  <c r="L12" i="4"/>
  <c r="I11" i="4"/>
  <c r="I13" i="4" s="1"/>
  <c r="R54" i="4"/>
  <c r="S54" i="4" s="1"/>
  <c r="AB43" i="4"/>
  <c r="R17" i="4"/>
  <c r="Z48" i="4"/>
  <c r="V47" i="4"/>
  <c r="M47" i="4"/>
  <c r="Z46" i="4"/>
  <c r="S46" i="4"/>
  <c r="J46" i="4"/>
  <c r="G21" i="4"/>
  <c r="L54" i="4"/>
  <c r="M54" i="4" s="1"/>
  <c r="AD48" i="4"/>
  <c r="S48" i="4"/>
  <c r="M48" i="4"/>
  <c r="G48" i="4"/>
  <c r="AD47" i="4"/>
  <c r="Z47" i="4"/>
  <c r="S47" i="4"/>
  <c r="J47" i="4"/>
  <c r="AD46" i="4"/>
  <c r="P46" i="4"/>
  <c r="X43" i="4"/>
  <c r="J43" i="4"/>
  <c r="G40" i="4"/>
  <c r="D27" i="4"/>
  <c r="O27" i="4" s="1"/>
  <c r="L21" i="4"/>
  <c r="O20" i="4"/>
  <c r="G20" i="4"/>
  <c r="X48" i="4"/>
  <c r="X47" i="4"/>
  <c r="G47" i="4"/>
  <c r="X46" i="4"/>
  <c r="G46" i="4"/>
  <c r="M43" i="4"/>
  <c r="M40" i="4"/>
  <c r="Z40" i="4"/>
  <c r="O21" i="4"/>
  <c r="I15" i="4"/>
  <c r="G16" i="4"/>
  <c r="I10" i="4"/>
  <c r="I23" i="4" s="1"/>
  <c r="W54" i="4"/>
  <c r="X54" i="4" s="1"/>
  <c r="AB48" i="4"/>
  <c r="V48" i="4"/>
  <c r="P48" i="4"/>
  <c r="J48" i="4"/>
  <c r="P47" i="4"/>
  <c r="AB46" i="4"/>
  <c r="V46" i="4"/>
  <c r="M46" i="4"/>
  <c r="L32" i="4"/>
  <c r="L26" i="4"/>
  <c r="G19" i="4"/>
  <c r="L16" i="4"/>
  <c r="R13" i="4"/>
  <c r="AA55" i="4"/>
  <c r="AB55" i="4" s="1"/>
  <c r="AB56" i="4" s="1"/>
  <c r="R55" i="4"/>
  <c r="S55" i="4" s="1"/>
  <c r="S56" i="4" s="1"/>
  <c r="F55" i="4"/>
  <c r="G55" i="4" s="1"/>
  <c r="G56" i="4" s="1"/>
  <c r="AC54" i="4"/>
  <c r="Y54" i="4"/>
  <c r="U54" i="4"/>
  <c r="O54" i="4"/>
  <c r="I54" i="4"/>
  <c r="D54" i="4"/>
  <c r="V40" i="4"/>
  <c r="T27" i="4"/>
  <c r="I27" i="4"/>
  <c r="H28" i="4"/>
  <c r="G24" i="4"/>
  <c r="F27" i="4"/>
  <c r="R16" i="4"/>
  <c r="I16" i="4"/>
  <c r="O13" i="4"/>
  <c r="U23" i="4"/>
  <c r="L23" i="4"/>
  <c r="I30" i="4"/>
  <c r="O25" i="4"/>
  <c r="L24" i="4"/>
  <c r="K27" i="4"/>
  <c r="O16" i="4"/>
  <c r="U13" i="4"/>
  <c r="P43" i="4"/>
  <c r="AD40" i="4"/>
  <c r="J40" i="4"/>
  <c r="N28" i="4"/>
  <c r="E27" i="4"/>
  <c r="E29" i="4" s="1"/>
  <c r="D28" i="4"/>
  <c r="E28" i="4" s="1"/>
  <c r="R24" i="4"/>
  <c r="Q27" i="4"/>
  <c r="U30" i="4"/>
  <c r="L30" i="4"/>
  <c r="L13" i="4" l="1"/>
  <c r="L55" i="4"/>
  <c r="M55" i="4" s="1"/>
  <c r="M56" i="4" s="1"/>
  <c r="U16" i="4"/>
  <c r="W55" i="4"/>
  <c r="X55" i="4" s="1"/>
  <c r="X56" i="4" s="1"/>
  <c r="O28" i="4"/>
  <c r="O29" i="4" s="1"/>
  <c r="L27" i="4"/>
  <c r="K28" i="4"/>
  <c r="L28" i="4" s="1"/>
  <c r="Q28" i="4"/>
  <c r="R28" i="4" s="1"/>
  <c r="R27" i="4"/>
  <c r="F28" i="4"/>
  <c r="G28" i="4" s="1"/>
  <c r="G27" i="4"/>
  <c r="P54" i="4"/>
  <c r="O55" i="4"/>
  <c r="P55" i="4" s="1"/>
  <c r="V54" i="4"/>
  <c r="U55" i="4"/>
  <c r="V55" i="4" s="1"/>
  <c r="U27" i="4"/>
  <c r="T28" i="4"/>
  <c r="U28" i="4" s="1"/>
  <c r="I28" i="4"/>
  <c r="I29" i="4" s="1"/>
  <c r="E54" i="4"/>
  <c r="D55" i="4"/>
  <c r="E55" i="4" s="1"/>
  <c r="Z54" i="4"/>
  <c r="Y55" i="4"/>
  <c r="Z55" i="4" s="1"/>
  <c r="Z56" i="4" s="1"/>
  <c r="J54" i="4"/>
  <c r="I55" i="4"/>
  <c r="J55" i="4" s="1"/>
  <c r="AC55" i="4"/>
  <c r="AD55" i="4" s="1"/>
  <c r="AD54" i="4"/>
  <c r="G29" i="4" l="1"/>
  <c r="L29" i="4"/>
  <c r="U29" i="4"/>
  <c r="P56" i="4"/>
  <c r="AD56" i="4"/>
  <c r="J56" i="4"/>
  <c r="E56" i="4"/>
  <c r="R29" i="4"/>
  <c r="V56" i="4"/>
</calcChain>
</file>

<file path=xl/comments1.xml><?xml version="1.0" encoding="utf-8"?>
<comments xmlns="http://schemas.openxmlformats.org/spreadsheetml/2006/main">
  <authors>
    <author>John Christian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This date should be the 1st day of year 10 for the year group chosen when the report is run.</t>
        </r>
      </text>
    </comment>
    <comment ref="C30" authorId="0" shapeId="0">
      <text>
        <r>
          <rPr>
            <sz val="8"/>
            <color indexed="81"/>
            <rFont val="Tahoma"/>
            <family val="2"/>
          </rPr>
          <t xml:space="preserve">Pupils who have been at school since the start of year 10.  Check the date in c6 above.
</t>
        </r>
      </text>
    </comment>
    <comment ref="C57" authorId="0" shapeId="0">
      <text>
        <r>
          <rPr>
            <sz val="8"/>
            <color indexed="81"/>
            <rFont val="Tahoma"/>
            <family val="2"/>
          </rPr>
          <t xml:space="preserve">Pupils who have been at school since the start of year 10.  Check the date in c6 above.
</t>
        </r>
      </text>
    </comment>
  </commentList>
</comments>
</file>

<file path=xl/sharedStrings.xml><?xml version="1.0" encoding="utf-8"?>
<sst xmlns="http://schemas.openxmlformats.org/spreadsheetml/2006/main" count="30868" uniqueCount="380">
  <si>
    <t>Gender</t>
  </si>
  <si>
    <t>DOA</t>
  </si>
  <si>
    <t>Reg</t>
  </si>
  <si>
    <t>SEN</t>
  </si>
  <si>
    <t>G&amp;T</t>
  </si>
  <si>
    <t>EAL</t>
  </si>
  <si>
    <t>In Care</t>
  </si>
  <si>
    <t>Ethnicity</t>
  </si>
  <si>
    <t>Result</t>
  </si>
  <si>
    <t>Andrew Abbot  10E</t>
  </si>
  <si>
    <t>M</t>
  </si>
  <si>
    <t>10E</t>
  </si>
  <si>
    <t>F</t>
  </si>
  <si>
    <t>White - Scottish</t>
  </si>
  <si>
    <t>English</t>
  </si>
  <si>
    <t>CAS Attainment 8</t>
  </si>
  <si>
    <t>TP Year 10 Autumn Term</t>
  </si>
  <si>
    <t>CAS Progress 8</t>
  </si>
  <si>
    <t>CAS Attainment En</t>
  </si>
  <si>
    <t>CAS Attainment Ma</t>
  </si>
  <si>
    <t>CAS Attainment Ebacc</t>
  </si>
  <si>
    <t>CAS Attainment Open</t>
  </si>
  <si>
    <t>CAS Progress English</t>
  </si>
  <si>
    <t>CAS Progress Maths</t>
  </si>
  <si>
    <t>CAS Progress Ebacc</t>
  </si>
  <si>
    <t>CAS Progress Open</t>
  </si>
  <si>
    <t>CAS No. Good GCSEs</t>
  </si>
  <si>
    <t>CAS Passed Maths?</t>
  </si>
  <si>
    <t>N</t>
  </si>
  <si>
    <t>CAS Passed English?</t>
  </si>
  <si>
    <t>CAS Passed En and ma?</t>
  </si>
  <si>
    <t>CAS English Bac</t>
  </si>
  <si>
    <t>CAS 5 Good GCSEs with En &amp; Ma</t>
  </si>
  <si>
    <t>Cameron Able  10A</t>
  </si>
  <si>
    <t>10A</t>
  </si>
  <si>
    <t>T</t>
  </si>
  <si>
    <t>White - Irish</t>
  </si>
  <si>
    <t>Y</t>
  </si>
  <si>
    <t>Robert Ackrington  10D</t>
  </si>
  <si>
    <t>10D</t>
  </si>
  <si>
    <t>White - English</t>
  </si>
  <si>
    <t>Payal Adedeji  10C</t>
  </si>
  <si>
    <t>10C</t>
  </si>
  <si>
    <t>Indian</t>
  </si>
  <si>
    <t>Joe Agathocleous  10E</t>
  </si>
  <si>
    <t>Greek Cypriot</t>
  </si>
  <si>
    <t>Carina Ahmad  10B</t>
  </si>
  <si>
    <t>10B</t>
  </si>
  <si>
    <t>Yes</t>
  </si>
  <si>
    <t>Kashmiri Pakistani</t>
  </si>
  <si>
    <t>Kashmiri</t>
  </si>
  <si>
    <t>Frederick Albion  10F</t>
  </si>
  <si>
    <t>10F</t>
  </si>
  <si>
    <t>Courtney Aldridge  10E</t>
  </si>
  <si>
    <t>No</t>
  </si>
  <si>
    <t>Farah Allim  10C</t>
  </si>
  <si>
    <t>Bangladeshi</t>
  </si>
  <si>
    <t>Bengali</t>
  </si>
  <si>
    <t>Ian Anderson  10D</t>
  </si>
  <si>
    <t>Wesley Anderton  10E</t>
  </si>
  <si>
    <t>Hank Andrews  10F</t>
  </si>
  <si>
    <t>Shaun Arkwright  10E</t>
  </si>
  <si>
    <t>Terry Armstrong  10C</t>
  </si>
  <si>
    <t>Edward Avison  10D</t>
  </si>
  <si>
    <t>Chris Baggley  10A</t>
  </si>
  <si>
    <t>Jose Bandaras  10D</t>
  </si>
  <si>
    <t>White Western European</t>
  </si>
  <si>
    <t>Spanish</t>
  </si>
  <si>
    <t>Maria Bandaras  10E</t>
  </si>
  <si>
    <t>Jerry Biggleswick  10E</t>
  </si>
  <si>
    <t>Benjamin Binks  10C</t>
  </si>
  <si>
    <t>Paul Blanch  10C</t>
  </si>
  <si>
    <t>Lee Blimpkin  10E</t>
  </si>
  <si>
    <t>Oliver Blokey  10D</t>
  </si>
  <si>
    <t>White European</t>
  </si>
  <si>
    <t>Neil Bollard  10D</t>
  </si>
  <si>
    <t>Nicholas Bowden  10C</t>
  </si>
  <si>
    <t>Geoffrey Brian  10B</t>
  </si>
  <si>
    <t>Andrew Bristol  10C</t>
  </si>
  <si>
    <t>Leroy Brown  10A</t>
  </si>
  <si>
    <t>Rebecca Cantabrigian  10E</t>
  </si>
  <si>
    <t>Fiona Canterbury  10E</t>
  </si>
  <si>
    <t>Yolanda Canterbury  10D</t>
  </si>
  <si>
    <t>Delia Carlson  10A</t>
  </si>
  <si>
    <t>Alicia Carpenter  10D</t>
  </si>
  <si>
    <t>Hilda Carter  10F</t>
  </si>
  <si>
    <t>White Other</t>
  </si>
  <si>
    <t>Stephanie Cavisham  10B</t>
  </si>
  <si>
    <t>Rose Chaimpa  10D</t>
  </si>
  <si>
    <t>Bryn Chakma  10C</t>
  </si>
  <si>
    <t>Seth Chapman  10C</t>
  </si>
  <si>
    <t>Michaela Charmin  10D</t>
  </si>
  <si>
    <t>Tao Cheng  10D</t>
  </si>
  <si>
    <t>Hong Kong Chinese</t>
  </si>
  <si>
    <t>Angela Cherry  10C</t>
  </si>
  <si>
    <t>Deborah Chilburn  10A</t>
  </si>
  <si>
    <t>Kelly Chippenham  10B</t>
  </si>
  <si>
    <t>Olivia Christenson  10A</t>
  </si>
  <si>
    <t>Laura Clarks  10C</t>
  </si>
  <si>
    <t>Annabel Clarkson  10A</t>
  </si>
  <si>
    <t>K</t>
  </si>
  <si>
    <t>Bianca Clean  10D</t>
  </si>
  <si>
    <t>Patricia Clear  10F</t>
  </si>
  <si>
    <t>Gloria Clearly  10C</t>
  </si>
  <si>
    <t>White and chinese</t>
  </si>
  <si>
    <t>Julie Cleaver  10C</t>
  </si>
  <si>
    <t>Paula Clio  10A</t>
  </si>
  <si>
    <t>Kara Copper  10E</t>
  </si>
  <si>
    <t>Diana Coterril  10C</t>
  </si>
  <si>
    <t>Andrew Cox  10C</t>
  </si>
  <si>
    <t>Refused</t>
  </si>
  <si>
    <t>Liz Dadar  10F</t>
  </si>
  <si>
    <t>Nashkabir Dahl  10A</t>
  </si>
  <si>
    <t>Emily Daisy  10C</t>
  </si>
  <si>
    <t>White - Cornish</t>
  </si>
  <si>
    <t>Thabie Dalli  10E</t>
  </si>
  <si>
    <t>Louise Debeney  10F</t>
  </si>
  <si>
    <t>Stephanie Delori  10D</t>
  </si>
  <si>
    <t>Italian</t>
  </si>
  <si>
    <t>Abigail Derekson  10A</t>
  </si>
  <si>
    <t>Tina Desai  10D</t>
  </si>
  <si>
    <t>Louise Devonshire  10C</t>
  </si>
  <si>
    <t>Diana Dewby  10F</t>
  </si>
  <si>
    <t>Victoria Diana  10D</t>
  </si>
  <si>
    <t>Tiffany Donaghan  10E</t>
  </si>
  <si>
    <t>Emma Down  10F</t>
  </si>
  <si>
    <t>Gladys Downy  10C</t>
  </si>
  <si>
    <t>White and Black Caribbean</t>
  </si>
  <si>
    <t>Patricia Dubling  10F</t>
  </si>
  <si>
    <t>Terrence Easly  10C</t>
  </si>
  <si>
    <t>Traveller of Irish heritage</t>
  </si>
  <si>
    <t>Alan Ebeney  10A</t>
  </si>
  <si>
    <t>Jason Eccles  10D</t>
  </si>
  <si>
    <t>Andreas Eddson  10F</t>
  </si>
  <si>
    <t>Lebanese</t>
  </si>
  <si>
    <t>Tao Edon  10F</t>
  </si>
  <si>
    <t>Albanian</t>
  </si>
  <si>
    <t>Albanian/Shqip</t>
  </si>
  <si>
    <t>Jay El Aswar  10F</t>
  </si>
  <si>
    <t>Gujarati</t>
  </si>
  <si>
    <t>Hank Elker  10E</t>
  </si>
  <si>
    <t>Black European</t>
  </si>
  <si>
    <t>Ben Elliot  10B</t>
  </si>
  <si>
    <t>Ian Enders  10B</t>
  </si>
  <si>
    <t>Stephanie England  10A</t>
  </si>
  <si>
    <t>Black Caribbean</t>
  </si>
  <si>
    <t>Eric Estrada  10A</t>
  </si>
  <si>
    <t>Callum Evans  10B</t>
  </si>
  <si>
    <t>Oliver Everly  10F</t>
  </si>
  <si>
    <t>Nicholas Eveson  10F</t>
  </si>
  <si>
    <t>Terry Evry  10A</t>
  </si>
  <si>
    <t>Other White British</t>
  </si>
  <si>
    <t>Katie-May Falmer  10A</t>
  </si>
  <si>
    <t>Kalpina Fatania  10B</t>
  </si>
  <si>
    <t>Stephanie Fenton  10A</t>
  </si>
  <si>
    <t>Lois Ferdinand  10F</t>
  </si>
  <si>
    <t>White - Welsh</t>
  </si>
  <si>
    <t>Welsh/Cymraeg</t>
  </si>
  <si>
    <t>Seana Fickler  10E</t>
  </si>
  <si>
    <t>Turkish Cypriot</t>
  </si>
  <si>
    <t>Turkish</t>
  </si>
  <si>
    <t>Alexandra Finchley  10C</t>
  </si>
  <si>
    <t>Emma Finnegan  10D</t>
  </si>
  <si>
    <t>Deborah Foad  10D</t>
  </si>
  <si>
    <t>Louise Frankl  10A</t>
  </si>
  <si>
    <t>Kelly Fredericks  10C</t>
  </si>
  <si>
    <t>Black - Nigerian</t>
  </si>
  <si>
    <t>Cameron Frill  10B</t>
  </si>
  <si>
    <t>Bosnian-Herzegovinian</t>
  </si>
  <si>
    <t>Serbian/Croatian/Bosnian</t>
  </si>
  <si>
    <t>Julie-Ann Froch  10F</t>
  </si>
  <si>
    <t>Croatian</t>
  </si>
  <si>
    <t>Mario Fucilla  10E</t>
  </si>
  <si>
    <t>Carrie Fulke  10E</t>
  </si>
  <si>
    <t>Harry Gardener  10B</t>
  </si>
  <si>
    <t>Egyptian</t>
  </si>
  <si>
    <t>Jonathan Garrington  10B</t>
  </si>
  <si>
    <t>Other Black African</t>
  </si>
  <si>
    <t>Eduardo Gartwright  10F</t>
  </si>
  <si>
    <t>Simon Gibbony  10B</t>
  </si>
  <si>
    <t>Kevin Giffley  10F</t>
  </si>
  <si>
    <t>Arab</t>
  </si>
  <si>
    <t>Arabic</t>
  </si>
  <si>
    <t>Ian Gindsey  10E</t>
  </si>
  <si>
    <t>Mark Gordon  10E</t>
  </si>
  <si>
    <t>Quincy Grahams  10D</t>
  </si>
  <si>
    <t>Steven Gratley  10B</t>
  </si>
  <si>
    <t>Derek Griff  10D</t>
  </si>
  <si>
    <t>Edward Grundy  10D</t>
  </si>
  <si>
    <t>Other Black</t>
  </si>
  <si>
    <t>Wilson Gunter  10D</t>
  </si>
  <si>
    <t>Sophie Handle  10C</t>
  </si>
  <si>
    <t>Moroccan</t>
  </si>
  <si>
    <t>Emily Handson  10F</t>
  </si>
  <si>
    <t>Filipino</t>
  </si>
  <si>
    <t>Gabrielle Hatry  10B</t>
  </si>
  <si>
    <t>Portuguese</t>
  </si>
  <si>
    <t>Stephanie Hatt  10C</t>
  </si>
  <si>
    <t>Fiona Hibberty  10A</t>
  </si>
  <si>
    <t>Hindi</t>
  </si>
  <si>
    <t>Polly Hilland  10F</t>
  </si>
  <si>
    <t>White and Black African</t>
  </si>
  <si>
    <t>Angela Hilly  10F</t>
  </si>
  <si>
    <t>Asian and Chinese</t>
  </si>
  <si>
    <t>Holly Himpey  10E</t>
  </si>
  <si>
    <t>Alan Hiraoka  10F</t>
  </si>
  <si>
    <t>Singaporean Chinese</t>
  </si>
  <si>
    <t>Olivia Hobsbawm  10A</t>
  </si>
  <si>
    <t>White and Indian</t>
  </si>
  <si>
    <t>Deborah Hotterly  10C</t>
  </si>
  <si>
    <t>Afghan</t>
  </si>
  <si>
    <t>Fung-yao Iao  10F</t>
  </si>
  <si>
    <t>Chinese + any other ethnic group</t>
  </si>
  <si>
    <t>Chinese</t>
  </si>
  <si>
    <t>Derek Implent  10F</t>
  </si>
  <si>
    <t>Serbian</t>
  </si>
  <si>
    <t>Mohammed Imran  10F</t>
  </si>
  <si>
    <t>Alexei Inky  10A</t>
  </si>
  <si>
    <t>Andrew Intew  10B</t>
  </si>
  <si>
    <t>African Asian</t>
  </si>
  <si>
    <t>Edward Jack  10A</t>
  </si>
  <si>
    <t>Latin/South/Central American</t>
  </si>
  <si>
    <t>Mary Jackson  10E</t>
  </si>
  <si>
    <t>Sarah Jackson  10B</t>
  </si>
  <si>
    <t>E</t>
  </si>
  <si>
    <t>Simon Jackson  10E</t>
  </si>
  <si>
    <t>Feisal Jhanji  10F</t>
  </si>
  <si>
    <t>Other Pakistani</t>
  </si>
  <si>
    <t>Tiffany Johnstone  10D</t>
  </si>
  <si>
    <t>April Jones  10A</t>
  </si>
  <si>
    <t>Derek Jones  10B</t>
  </si>
  <si>
    <t>Libyan</t>
  </si>
  <si>
    <t>Peter Jones  10B</t>
  </si>
  <si>
    <t>Rebecca Jonson  10A</t>
  </si>
  <si>
    <t>Noel Jose  10E</t>
  </si>
  <si>
    <t>Raheel Kabir  10B</t>
  </si>
  <si>
    <t>Andrew Kimpt  10B</t>
  </si>
  <si>
    <t>Gypsy/Roma</t>
  </si>
  <si>
    <t>Heinrich Klaus  10B</t>
  </si>
  <si>
    <t>German</t>
  </si>
  <si>
    <t>Ivan Kovac  10B</t>
  </si>
  <si>
    <t>Kosovan</t>
  </si>
  <si>
    <t>Amelia Landsbury  10C</t>
  </si>
  <si>
    <t>Amy Lewson  10B</t>
  </si>
  <si>
    <t>Angela Lewson  10B</t>
  </si>
  <si>
    <t>Rocco Malossini  10D</t>
  </si>
  <si>
    <t>Winney Mathews  10F</t>
  </si>
  <si>
    <t>Kiz Maulana  10E</t>
  </si>
  <si>
    <t>Justin Mcdaid  10D</t>
  </si>
  <si>
    <t>Emma Nancy  10B</t>
  </si>
  <si>
    <t>Asian and any other ethnic group</t>
  </si>
  <si>
    <t>Kim Naus  10D</t>
  </si>
  <si>
    <t>Polynesian</t>
  </si>
  <si>
    <t>French</t>
  </si>
  <si>
    <t>Ingrid Nelson  10E</t>
  </si>
  <si>
    <t>Jack Newman  10A</t>
  </si>
  <si>
    <t>Hollie Nibblers  10D</t>
  </si>
  <si>
    <t>Diana Nicholas  10D</t>
  </si>
  <si>
    <t>Black - Angolan</t>
  </si>
  <si>
    <t>Olivia Northaug  10B</t>
  </si>
  <si>
    <t>Sheila Offen  10E</t>
  </si>
  <si>
    <t>Angela Onowski  10F</t>
  </si>
  <si>
    <t>Japanese</t>
  </si>
  <si>
    <t>Derek Ousten  10C</t>
  </si>
  <si>
    <t>Gajendra Pandit  10C</t>
  </si>
  <si>
    <t>Roshni Patel  10E</t>
  </si>
  <si>
    <t>Nicholas Pedron  10D</t>
  </si>
  <si>
    <t>Walter Plumb  10B</t>
  </si>
  <si>
    <t>India Pratton  10A</t>
  </si>
  <si>
    <t>Fiorenza Russo  10D</t>
  </si>
  <si>
    <t>Gio Russo  10A</t>
  </si>
  <si>
    <t>Jamilla Sahonta  10B</t>
  </si>
  <si>
    <t>Ruchir Sardar  10C</t>
  </si>
  <si>
    <t>Feisal Singh  10C</t>
  </si>
  <si>
    <t>Panjabi</t>
  </si>
  <si>
    <t>Meena Singh  10B</t>
  </si>
  <si>
    <t>Zev Singh  10A</t>
  </si>
  <si>
    <t>Sophie Smiles  10E</t>
  </si>
  <si>
    <t>Tony Smith  10A</t>
  </si>
  <si>
    <t>Erica Smith  10F</t>
  </si>
  <si>
    <t>Siu Heng Tsang  10E</t>
  </si>
  <si>
    <t>Kellyann Whiting  10E</t>
  </si>
  <si>
    <t>Sue Yip  10B</t>
  </si>
  <si>
    <t>Malaysian Chinese</t>
  </si>
  <si>
    <t>Yusuke Yoshida  10C</t>
  </si>
  <si>
    <t>Mohomed Zabidi  10A</t>
  </si>
  <si>
    <t>White and Pakistani</t>
  </si>
  <si>
    <t>Prior Attainment</t>
  </si>
  <si>
    <t>Result set</t>
  </si>
  <si>
    <t>Measure</t>
  </si>
  <si>
    <t>KS2_APS</t>
  </si>
  <si>
    <t>Pupil Premium</t>
  </si>
  <si>
    <t>FSM 6</t>
  </si>
  <si>
    <t>First Lang</t>
  </si>
  <si>
    <t>Year</t>
  </si>
  <si>
    <t>Student name</t>
  </si>
  <si>
    <t>A*</t>
  </si>
  <si>
    <t>A*-</t>
  </si>
  <si>
    <t>A+</t>
  </si>
  <si>
    <t>A</t>
  </si>
  <si>
    <t>A-</t>
  </si>
  <si>
    <t>B+</t>
  </si>
  <si>
    <t>B</t>
  </si>
  <si>
    <t>B-</t>
  </si>
  <si>
    <t>C+</t>
  </si>
  <si>
    <t>U</t>
  </si>
  <si>
    <t>C</t>
  </si>
  <si>
    <t>G/U</t>
  </si>
  <si>
    <t>C-</t>
  </si>
  <si>
    <t>G</t>
  </si>
  <si>
    <t>D+</t>
  </si>
  <si>
    <t>F/G</t>
  </si>
  <si>
    <t>D</t>
  </si>
  <si>
    <t>D-</t>
  </si>
  <si>
    <t>E/F</t>
  </si>
  <si>
    <t>E+</t>
  </si>
  <si>
    <t>D/E</t>
  </si>
  <si>
    <t>E-</t>
  </si>
  <si>
    <t>F+</t>
  </si>
  <si>
    <t>C/D</t>
  </si>
  <si>
    <t>F-</t>
  </si>
  <si>
    <t>B/C</t>
  </si>
  <si>
    <t>G+</t>
  </si>
  <si>
    <t>H</t>
  </si>
  <si>
    <t>A/B</t>
  </si>
  <si>
    <t>G-</t>
  </si>
  <si>
    <t>L</t>
  </si>
  <si>
    <t>A*/A</t>
  </si>
  <si>
    <t>Prior Level</t>
  </si>
  <si>
    <t>KS2 APS</t>
  </si>
  <si>
    <t>Grade</t>
  </si>
  <si>
    <t>GCSE pts</t>
  </si>
  <si>
    <t>Attainment 8pts</t>
  </si>
  <si>
    <t>Pts</t>
  </si>
  <si>
    <t>National Figures DFE 2015</t>
  </si>
  <si>
    <t>Non-Mobile</t>
  </si>
  <si>
    <t>-</t>
  </si>
  <si>
    <t>SEN Gap</t>
  </si>
  <si>
    <t>No SEN</t>
  </si>
  <si>
    <t>SEN all</t>
  </si>
  <si>
    <t>SEN K</t>
  </si>
  <si>
    <t>SEN S</t>
  </si>
  <si>
    <t>SEN E</t>
  </si>
  <si>
    <t>EAL Gap to all</t>
  </si>
  <si>
    <t>High KS2APS &gt;4</t>
  </si>
  <si>
    <t>Middle KS2APS =4</t>
  </si>
  <si>
    <t>Low KS2APS &lt;4</t>
  </si>
  <si>
    <t>FSM</t>
  </si>
  <si>
    <t>CLA</t>
  </si>
  <si>
    <t>PPI Gap</t>
  </si>
  <si>
    <t>Not Disadvantaged</t>
  </si>
  <si>
    <t>Disadvantaged (PPI)</t>
  </si>
  <si>
    <t>Gender Gap</t>
  </si>
  <si>
    <t>Female</t>
  </si>
  <si>
    <t>Male</t>
  </si>
  <si>
    <t>All Students</t>
  </si>
  <si>
    <t>Ave</t>
  </si>
  <si>
    <t>No.</t>
  </si>
  <si>
    <t>Nat</t>
  </si>
  <si>
    <t>%</t>
  </si>
  <si>
    <t>Progress Open</t>
  </si>
  <si>
    <t>Progress Ebacc</t>
  </si>
  <si>
    <t>Progress Ma</t>
  </si>
  <si>
    <t>Progress En</t>
  </si>
  <si>
    <t>Progress 8</t>
  </si>
  <si>
    <t>Attainment Open</t>
  </si>
  <si>
    <t>Attainment Ebacc</t>
  </si>
  <si>
    <t>Attainment Ma</t>
  </si>
  <si>
    <t>Attainment En</t>
  </si>
  <si>
    <t>Attainment 8</t>
  </si>
  <si>
    <t>Cohort</t>
  </si>
  <si>
    <t>APS</t>
  </si>
  <si>
    <t>5 Good GCSEs inc En and Ma</t>
  </si>
  <si>
    <t>Ebacc</t>
  </si>
  <si>
    <t>Good Pass En and Ma</t>
  </si>
  <si>
    <t>Good Pass Ma</t>
  </si>
  <si>
    <t>Good Pass En</t>
  </si>
  <si>
    <t>1st day of Year 10</t>
  </si>
  <si>
    <t>Result Set</t>
  </si>
  <si>
    <t>No. In Cohort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</si>
</sst>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sz val="14"/>
      <name val="Arial"/>
      <family val="2"/>
    </font>
    <font>
      <sz val="10"/>
      <name val="Arial"/>
      <family val="2"/>
    </font>
    <font>
      <sz val="18"/>
      <name val="Arial"/>
      <family val="2"/>
    </font>
    <font>
      <sz val="8"/>
      <color indexed="81"/>
      <name val="Tahoma"/>
      <family val="2"/>
    </font>
  </fonts>
  <fills count="1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9" fontId="3" fillId="0" borderId="0" applyFont="0" applyFill="0" applyBorder="0" applyAlignment="0" applyProtection="0"/>
    <xf numFmtId="0" fontId="3" fillId="0" borderId="0"/>
  </cellStyleXfs>
  <cellXfs count="213">
    <xf numFmtId="0" fontId="0" fillId="0" borderId="0" xfId="0"/>
    <xf numFmtId="0" fontId="1" fillId="0" borderId="0" xfId="1"/>
    <xf numFmtId="164" fontId="1" fillId="0" borderId="0" xfId="1" applyNumberFormat="1"/>
    <xf numFmtId="0" fontId="2" fillId="0" borderId="0" xfId="1" applyFont="1" applyAlignment="1">
      <alignment horizontal="center" vertical="center" wrapText="1"/>
    </xf>
    <xf numFmtId="164" fontId="2" fillId="0" borderId="0" xfId="1" applyNumberFormat="1" applyFont="1" applyAlignment="1">
      <alignment horizontal="center" vertical="center" wrapText="1"/>
    </xf>
    <xf numFmtId="0" fontId="1" fillId="0" borderId="0" xfId="1" applyFill="1" applyBorder="1"/>
    <xf numFmtId="0" fontId="1" fillId="0" borderId="0" xfId="1" applyBorder="1"/>
    <xf numFmtId="0" fontId="3" fillId="0" borderId="0" xfId="1" applyFont="1"/>
    <xf numFmtId="0" fontId="1" fillId="0" borderId="0" xfId="1" applyFont="1" applyFill="1" applyBorder="1"/>
    <xf numFmtId="0" fontId="3" fillId="0" borderId="0" xfId="1" applyFont="1" applyBorder="1"/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1" fillId="0" borderId="1" xfId="1" applyBorder="1" applyAlignment="1">
      <alignment horizontal="center"/>
    </xf>
    <xf numFmtId="0" fontId="1" fillId="0" borderId="2" xfId="1" applyBorder="1" applyAlignment="1">
      <alignment horizontal="center"/>
    </xf>
    <xf numFmtId="0" fontId="1" fillId="0" borderId="3" xfId="1" applyBorder="1" applyAlignment="1">
      <alignment horizontal="center"/>
    </xf>
    <xf numFmtId="2" fontId="2" fillId="2" borderId="4" xfId="2" applyNumberFormat="1" applyFont="1" applyFill="1" applyBorder="1" applyAlignment="1">
      <alignment horizontal="center"/>
    </xf>
    <xf numFmtId="0" fontId="2" fillId="2" borderId="5" xfId="3" applyFont="1" applyFill="1" applyBorder="1" applyAlignment="1">
      <alignment horizontal="center"/>
    </xf>
    <xf numFmtId="2" fontId="2" fillId="3" borderId="6" xfId="2" applyNumberFormat="1" applyFont="1" applyFill="1" applyBorder="1" applyAlignment="1">
      <alignment horizontal="center"/>
    </xf>
    <xf numFmtId="0" fontId="2" fillId="3" borderId="5" xfId="3" applyFont="1" applyFill="1" applyBorder="1" applyAlignment="1">
      <alignment horizontal="center"/>
    </xf>
    <xf numFmtId="2" fontId="2" fillId="4" borderId="6" xfId="2" applyNumberFormat="1" applyFont="1" applyFill="1" applyBorder="1" applyAlignment="1">
      <alignment horizontal="center"/>
    </xf>
    <xf numFmtId="0" fontId="2" fillId="4" borderId="5" xfId="3" applyFont="1" applyFill="1" applyBorder="1" applyAlignment="1">
      <alignment horizontal="center"/>
    </xf>
    <xf numFmtId="2" fontId="2" fillId="2" borderId="6" xfId="2" applyNumberFormat="1" applyFont="1" applyFill="1" applyBorder="1" applyAlignment="1">
      <alignment horizontal="center"/>
    </xf>
    <xf numFmtId="2" fontId="2" fillId="5" borderId="6" xfId="2" applyNumberFormat="1" applyFont="1" applyFill="1" applyBorder="1" applyAlignment="1">
      <alignment horizontal="center"/>
    </xf>
    <xf numFmtId="0" fontId="2" fillId="5" borderId="5" xfId="3" applyFont="1" applyFill="1" applyBorder="1" applyAlignment="1">
      <alignment horizontal="center"/>
    </xf>
    <xf numFmtId="2" fontId="2" fillId="2" borderId="7" xfId="2" applyNumberFormat="1" applyFont="1" applyFill="1" applyBorder="1" applyAlignment="1">
      <alignment horizontal="center"/>
    </xf>
    <xf numFmtId="2" fontId="2" fillId="6" borderId="7" xfId="2" applyNumberFormat="1" applyFont="1" applyFill="1" applyBorder="1" applyAlignment="1">
      <alignment horizontal="center"/>
    </xf>
    <xf numFmtId="2" fontId="2" fillId="6" borderId="6" xfId="2" applyNumberFormat="1" applyFont="1" applyFill="1" applyBorder="1" applyAlignment="1">
      <alignment horizontal="center"/>
    </xf>
    <xf numFmtId="0" fontId="2" fillId="6" borderId="5" xfId="3" applyFont="1" applyFill="1" applyBorder="1" applyAlignment="1">
      <alignment horizontal="center"/>
    </xf>
    <xf numFmtId="2" fontId="2" fillId="4" borderId="7" xfId="2" applyNumberFormat="1" applyFont="1" applyFill="1" applyBorder="1" applyAlignment="1">
      <alignment horizontal="center"/>
    </xf>
    <xf numFmtId="9" fontId="2" fillId="4" borderId="4" xfId="2" applyFont="1" applyFill="1" applyBorder="1" applyAlignment="1">
      <alignment horizontal="center" vertical="center"/>
    </xf>
    <xf numFmtId="0" fontId="2" fillId="0" borderId="8" xfId="1" applyFont="1" applyBorder="1"/>
    <xf numFmtId="2" fontId="2" fillId="2" borderId="9" xfId="2" applyNumberFormat="1" applyFont="1" applyFill="1" applyBorder="1" applyAlignment="1">
      <alignment horizontal="center"/>
    </xf>
    <xf numFmtId="0" fontId="2" fillId="2" borderId="10" xfId="3" applyFont="1" applyFill="1" applyBorder="1" applyAlignment="1">
      <alignment horizontal="center"/>
    </xf>
    <xf numFmtId="2" fontId="2" fillId="3" borderId="11" xfId="2" applyNumberFormat="1" applyFont="1" applyFill="1" applyBorder="1" applyAlignment="1">
      <alignment horizontal="center"/>
    </xf>
    <xf numFmtId="0" fontId="2" fillId="3" borderId="10" xfId="3" applyFont="1" applyFill="1" applyBorder="1" applyAlignment="1">
      <alignment horizontal="center"/>
    </xf>
    <xf numFmtId="2" fontId="2" fillId="4" borderId="11" xfId="2" applyNumberFormat="1" applyFont="1" applyFill="1" applyBorder="1" applyAlignment="1">
      <alignment horizontal="center"/>
    </xf>
    <xf numFmtId="0" fontId="2" fillId="4" borderId="10" xfId="3" applyFont="1" applyFill="1" applyBorder="1" applyAlignment="1">
      <alignment horizontal="center"/>
    </xf>
    <xf numFmtId="2" fontId="2" fillId="2" borderId="11" xfId="2" applyNumberFormat="1" applyFont="1" applyFill="1" applyBorder="1" applyAlignment="1">
      <alignment horizontal="center"/>
    </xf>
    <xf numFmtId="2" fontId="2" fillId="5" borderId="11" xfId="2" applyNumberFormat="1" applyFont="1" applyFill="1" applyBorder="1" applyAlignment="1">
      <alignment horizontal="center"/>
    </xf>
    <xf numFmtId="0" fontId="2" fillId="5" borderId="10" xfId="3" applyFont="1" applyFill="1" applyBorder="1" applyAlignment="1">
      <alignment horizontal="center"/>
    </xf>
    <xf numFmtId="2" fontId="2" fillId="2" borderId="1" xfId="2" applyNumberFormat="1" applyFont="1" applyFill="1" applyBorder="1" applyAlignment="1">
      <alignment horizontal="center"/>
    </xf>
    <xf numFmtId="2" fontId="2" fillId="6" borderId="1" xfId="2" applyNumberFormat="1" applyFont="1" applyFill="1" applyBorder="1" applyAlignment="1">
      <alignment horizontal="center"/>
    </xf>
    <xf numFmtId="2" fontId="2" fillId="6" borderId="11" xfId="2" applyNumberFormat="1" applyFont="1" applyFill="1" applyBorder="1" applyAlignment="1">
      <alignment horizontal="center"/>
    </xf>
    <xf numFmtId="0" fontId="2" fillId="6" borderId="10" xfId="3" applyFont="1" applyFill="1" applyBorder="1" applyAlignment="1">
      <alignment horizontal="center"/>
    </xf>
    <xf numFmtId="2" fontId="2" fillId="4" borderId="1" xfId="2" applyNumberFormat="1" applyFont="1" applyFill="1" applyBorder="1" applyAlignment="1">
      <alignment horizontal="center"/>
    </xf>
    <xf numFmtId="9" fontId="2" fillId="4" borderId="9" xfId="2" applyFont="1" applyFill="1" applyBorder="1" applyAlignment="1">
      <alignment horizontal="center" vertical="center"/>
    </xf>
    <xf numFmtId="0" fontId="2" fillId="0" borderId="12" xfId="1" applyFont="1" applyBorder="1" applyAlignment="1">
      <alignment horizontal="center"/>
    </xf>
    <xf numFmtId="0" fontId="2" fillId="4" borderId="1" xfId="3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2" fontId="2" fillId="7" borderId="9" xfId="2" applyNumberFormat="1" applyFont="1" applyFill="1" applyBorder="1" applyAlignment="1">
      <alignment horizontal="center"/>
    </xf>
    <xf numFmtId="2" fontId="2" fillId="7" borderId="10" xfId="2" applyNumberFormat="1" applyFont="1" applyFill="1" applyBorder="1" applyAlignment="1">
      <alignment horizontal="center"/>
    </xf>
    <xf numFmtId="2" fontId="2" fillId="7" borderId="13" xfId="2" applyNumberFormat="1" applyFont="1" applyFill="1" applyBorder="1" applyAlignment="1">
      <alignment horizontal="center" vertical="center"/>
    </xf>
    <xf numFmtId="2" fontId="2" fillId="7" borderId="11" xfId="2" applyNumberFormat="1" applyFont="1" applyFill="1" applyBorder="1" applyAlignment="1">
      <alignment horizontal="center"/>
    </xf>
    <xf numFmtId="9" fontId="2" fillId="7" borderId="11" xfId="2" applyFont="1" applyFill="1" applyBorder="1" applyAlignment="1">
      <alignment horizontal="center" vertical="center"/>
    </xf>
    <xf numFmtId="0" fontId="2" fillId="7" borderId="10" xfId="3" applyFont="1" applyFill="1" applyBorder="1" applyAlignment="1">
      <alignment horizontal="center"/>
    </xf>
    <xf numFmtId="0" fontId="2" fillId="8" borderId="9" xfId="1" applyFont="1" applyFill="1" applyBorder="1" applyAlignment="1">
      <alignment horizontal="center"/>
    </xf>
    <xf numFmtId="2" fontId="2" fillId="2" borderId="14" xfId="2" applyNumberFormat="1" applyFont="1" applyFill="1" applyBorder="1" applyAlignment="1">
      <alignment horizontal="center"/>
    </xf>
    <xf numFmtId="2" fontId="2" fillId="9" borderId="14" xfId="2" applyNumberFormat="1" applyFont="1" applyFill="1" applyBorder="1" applyAlignment="1">
      <alignment horizontal="center"/>
    </xf>
    <xf numFmtId="2" fontId="2" fillId="4" borderId="14" xfId="2" applyNumberFormat="1" applyFont="1" applyFill="1" applyBorder="1" applyAlignment="1">
      <alignment horizontal="center"/>
    </xf>
    <xf numFmtId="2" fontId="2" fillId="10" borderId="14" xfId="2" applyNumberFormat="1" applyFont="1" applyFill="1" applyBorder="1" applyAlignment="1">
      <alignment horizontal="center"/>
    </xf>
    <xf numFmtId="2" fontId="2" fillId="7" borderId="14" xfId="2" applyNumberFormat="1" applyFont="1" applyFill="1" applyBorder="1" applyAlignment="1">
      <alignment horizontal="center"/>
    </xf>
    <xf numFmtId="0" fontId="2" fillId="0" borderId="15" xfId="1" applyFont="1" applyFill="1" applyBorder="1" applyAlignment="1">
      <alignment horizontal="center"/>
    </xf>
    <xf numFmtId="2" fontId="2" fillId="2" borderId="16" xfId="2" applyNumberFormat="1" applyFont="1" applyFill="1" applyBorder="1" applyAlignment="1">
      <alignment horizontal="center"/>
    </xf>
    <xf numFmtId="2" fontId="2" fillId="7" borderId="9" xfId="2" applyNumberFormat="1" applyFont="1" applyFill="1" applyBorder="1" applyAlignment="1">
      <alignment horizontal="center" vertical="center"/>
    </xf>
    <xf numFmtId="2" fontId="2" fillId="7" borderId="11" xfId="2" applyNumberFormat="1" applyFont="1" applyFill="1" applyBorder="1" applyAlignment="1">
      <alignment horizontal="center" vertical="center"/>
    </xf>
    <xf numFmtId="9" fontId="2" fillId="7" borderId="9" xfId="2" applyFont="1" applyFill="1" applyBorder="1" applyAlignment="1">
      <alignment horizontal="center" vertical="center"/>
    </xf>
    <xf numFmtId="0" fontId="2" fillId="8" borderId="15" xfId="1" applyFont="1" applyFill="1" applyBorder="1" applyAlignment="1">
      <alignment horizontal="center"/>
    </xf>
    <xf numFmtId="0" fontId="2" fillId="7" borderId="15" xfId="3" applyFont="1" applyFill="1" applyBorder="1" applyAlignment="1">
      <alignment horizontal="center"/>
    </xf>
    <xf numFmtId="2" fontId="2" fillId="2" borderId="17" xfId="2" applyNumberFormat="1" applyFont="1" applyFill="1" applyBorder="1" applyAlignment="1">
      <alignment horizontal="center"/>
    </xf>
    <xf numFmtId="0" fontId="2" fillId="0" borderId="0" xfId="1" applyFont="1" applyBorder="1" applyAlignment="1">
      <alignment horizontal="center"/>
    </xf>
    <xf numFmtId="2" fontId="2" fillId="10" borderId="11" xfId="2" applyNumberFormat="1" applyFont="1" applyFill="1" applyBorder="1" applyAlignment="1">
      <alignment horizontal="center"/>
    </xf>
    <xf numFmtId="2" fontId="2" fillId="2" borderId="18" xfId="2" applyNumberFormat="1" applyFont="1" applyFill="1" applyBorder="1" applyAlignment="1">
      <alignment horizontal="center"/>
    </xf>
    <xf numFmtId="0" fontId="2" fillId="2" borderId="19" xfId="3" applyFont="1" applyFill="1" applyBorder="1" applyAlignment="1">
      <alignment horizontal="center"/>
    </xf>
    <xf numFmtId="2" fontId="2" fillId="3" borderId="20" xfId="2" applyNumberFormat="1" applyFont="1" applyFill="1" applyBorder="1" applyAlignment="1">
      <alignment horizontal="center"/>
    </xf>
    <xf numFmtId="0" fontId="2" fillId="3" borderId="21" xfId="3" applyFont="1" applyFill="1" applyBorder="1" applyAlignment="1">
      <alignment horizontal="center"/>
    </xf>
    <xf numFmtId="2" fontId="2" fillId="4" borderId="20" xfId="2" applyNumberFormat="1" applyFont="1" applyFill="1" applyBorder="1" applyAlignment="1">
      <alignment horizontal="center"/>
    </xf>
    <xf numFmtId="0" fontId="2" fillId="4" borderId="21" xfId="3" applyFont="1" applyFill="1" applyBorder="1" applyAlignment="1">
      <alignment horizontal="center"/>
    </xf>
    <xf numFmtId="2" fontId="2" fillId="2" borderId="20" xfId="2" applyNumberFormat="1" applyFont="1" applyFill="1" applyBorder="1" applyAlignment="1">
      <alignment horizontal="center"/>
    </xf>
    <xf numFmtId="0" fontId="2" fillId="2" borderId="21" xfId="3" applyFont="1" applyFill="1" applyBorder="1" applyAlignment="1">
      <alignment horizontal="center"/>
    </xf>
    <xf numFmtId="2" fontId="2" fillId="5" borderId="20" xfId="2" applyNumberFormat="1" applyFont="1" applyFill="1" applyBorder="1" applyAlignment="1">
      <alignment horizontal="center"/>
    </xf>
    <xf numFmtId="0" fontId="2" fillId="5" borderId="21" xfId="3" applyFont="1" applyFill="1" applyBorder="1" applyAlignment="1">
      <alignment horizontal="center"/>
    </xf>
    <xf numFmtId="2" fontId="2" fillId="2" borderId="22" xfId="2" applyNumberFormat="1" applyFont="1" applyFill="1" applyBorder="1" applyAlignment="1">
      <alignment horizontal="center"/>
    </xf>
    <xf numFmtId="2" fontId="2" fillId="9" borderId="22" xfId="2" applyNumberFormat="1" applyFont="1" applyFill="1" applyBorder="1" applyAlignment="1">
      <alignment horizontal="center"/>
    </xf>
    <xf numFmtId="0" fontId="2" fillId="6" borderId="21" xfId="3" applyFont="1" applyFill="1" applyBorder="1" applyAlignment="1">
      <alignment horizontal="center"/>
    </xf>
    <xf numFmtId="2" fontId="2" fillId="4" borderId="22" xfId="2" applyNumberFormat="1" applyFont="1" applyFill="1" applyBorder="1" applyAlignment="1">
      <alignment horizontal="center"/>
    </xf>
    <xf numFmtId="2" fontId="2" fillId="6" borderId="20" xfId="2" applyNumberFormat="1" applyFont="1" applyFill="1" applyBorder="1" applyAlignment="1">
      <alignment horizontal="center"/>
    </xf>
    <xf numFmtId="9" fontId="2" fillId="4" borderId="16" xfId="2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2" borderId="24" xfId="3" applyFont="1" applyFill="1" applyBorder="1" applyAlignment="1">
      <alignment horizontal="center" vertical="center" wrapText="1"/>
    </xf>
    <xf numFmtId="0" fontId="2" fillId="2" borderId="25" xfId="3" applyFont="1" applyFill="1" applyBorder="1" applyAlignment="1">
      <alignment horizontal="center" vertical="center" wrapText="1"/>
    </xf>
    <xf numFmtId="0" fontId="2" fillId="3" borderId="24" xfId="3" applyFont="1" applyFill="1" applyBorder="1" applyAlignment="1">
      <alignment horizontal="center" vertical="center" wrapText="1"/>
    </xf>
    <xf numFmtId="0" fontId="2" fillId="3" borderId="25" xfId="3" applyFont="1" applyFill="1" applyBorder="1" applyAlignment="1">
      <alignment horizontal="center" vertical="center" wrapText="1"/>
    </xf>
    <xf numFmtId="0" fontId="2" fillId="4" borderId="24" xfId="3" applyFont="1" applyFill="1" applyBorder="1" applyAlignment="1">
      <alignment horizontal="center" vertical="center" wrapText="1"/>
    </xf>
    <xf numFmtId="0" fontId="2" fillId="4" borderId="25" xfId="3" applyFont="1" applyFill="1" applyBorder="1" applyAlignment="1">
      <alignment horizontal="center" vertical="center" wrapText="1"/>
    </xf>
    <xf numFmtId="0" fontId="2" fillId="5" borderId="24" xfId="3" applyFont="1" applyFill="1" applyBorder="1" applyAlignment="1">
      <alignment horizontal="center" vertical="center" wrapText="1"/>
    </xf>
    <xf numFmtId="0" fontId="2" fillId="5" borderId="26" xfId="3" applyFont="1" applyFill="1" applyBorder="1" applyAlignment="1">
      <alignment horizontal="center" vertical="center" wrapText="1"/>
    </xf>
    <xf numFmtId="0" fontId="2" fillId="2" borderId="27" xfId="3" applyFont="1" applyFill="1" applyBorder="1" applyAlignment="1">
      <alignment horizontal="center" vertical="center" wrapText="1"/>
    </xf>
    <xf numFmtId="0" fontId="2" fillId="2" borderId="28" xfId="3" applyFont="1" applyFill="1" applyBorder="1" applyAlignment="1">
      <alignment horizontal="center" vertical="center" wrapText="1"/>
    </xf>
    <xf numFmtId="0" fontId="2" fillId="2" borderId="29" xfId="3" applyFont="1" applyFill="1" applyBorder="1" applyAlignment="1">
      <alignment horizontal="center" vertical="center" wrapText="1"/>
    </xf>
    <xf numFmtId="0" fontId="2" fillId="6" borderId="30" xfId="3" applyFont="1" applyFill="1" applyBorder="1" applyAlignment="1">
      <alignment horizontal="center" vertical="center" wrapText="1"/>
    </xf>
    <xf numFmtId="0" fontId="2" fillId="6" borderId="28" xfId="3" applyFont="1" applyFill="1" applyBorder="1" applyAlignment="1">
      <alignment horizontal="center" vertical="center" wrapText="1"/>
    </xf>
    <xf numFmtId="0" fontId="2" fillId="6" borderId="29" xfId="3" applyFont="1" applyFill="1" applyBorder="1" applyAlignment="1">
      <alignment horizontal="center" vertical="center" wrapText="1"/>
    </xf>
    <xf numFmtId="0" fontId="2" fillId="4" borderId="30" xfId="3" applyFont="1" applyFill="1" applyBorder="1" applyAlignment="1">
      <alignment horizontal="center" vertical="center" wrapText="1"/>
    </xf>
    <xf numFmtId="0" fontId="2" fillId="4" borderId="28" xfId="3" applyFont="1" applyFill="1" applyBorder="1" applyAlignment="1">
      <alignment horizontal="center" vertical="center" wrapText="1"/>
    </xf>
    <xf numFmtId="0" fontId="2" fillId="4" borderId="29" xfId="3" applyFont="1" applyFill="1" applyBorder="1" applyAlignment="1">
      <alignment horizontal="center" vertical="center" wrapText="1"/>
    </xf>
    <xf numFmtId="0" fontId="2" fillId="2" borderId="30" xfId="3" applyFont="1" applyFill="1" applyBorder="1" applyAlignment="1">
      <alignment horizontal="center" vertical="center" wrapText="1"/>
    </xf>
    <xf numFmtId="0" fontId="2" fillId="6" borderId="31" xfId="3" applyFont="1" applyFill="1" applyBorder="1" applyAlignment="1">
      <alignment horizontal="center" vertical="center" wrapText="1"/>
    </xf>
    <xf numFmtId="0" fontId="2" fillId="4" borderId="32" xfId="3" applyFont="1" applyFill="1" applyBorder="1" applyAlignment="1">
      <alignment horizontal="center" vertical="center"/>
    </xf>
    <xf numFmtId="0" fontId="1" fillId="0" borderId="0" xfId="1" applyAlignment="1">
      <alignment horizontal="center" vertical="center" wrapText="1"/>
    </xf>
    <xf numFmtId="0" fontId="2" fillId="2" borderId="32" xfId="3" applyFont="1" applyFill="1" applyBorder="1" applyAlignment="1">
      <alignment horizontal="center" vertical="center" wrapText="1"/>
    </xf>
    <xf numFmtId="0" fontId="2" fillId="2" borderId="33" xfId="3" applyFont="1" applyFill="1" applyBorder="1" applyAlignment="1">
      <alignment horizontal="center" vertical="center" wrapText="1"/>
    </xf>
    <xf numFmtId="0" fontId="2" fillId="3" borderId="32" xfId="3" applyFont="1" applyFill="1" applyBorder="1" applyAlignment="1">
      <alignment horizontal="center" vertical="center" wrapText="1"/>
    </xf>
    <xf numFmtId="0" fontId="2" fillId="3" borderId="33" xfId="3" applyFont="1" applyFill="1" applyBorder="1" applyAlignment="1">
      <alignment horizontal="center" vertical="center" wrapText="1"/>
    </xf>
    <xf numFmtId="0" fontId="2" fillId="4" borderId="32" xfId="3" applyFont="1" applyFill="1" applyBorder="1" applyAlignment="1">
      <alignment horizontal="center" vertical="center" wrapText="1"/>
    </xf>
    <xf numFmtId="0" fontId="2" fillId="4" borderId="33" xfId="3" applyFont="1" applyFill="1" applyBorder="1" applyAlignment="1">
      <alignment horizontal="center" vertical="center" wrapText="1"/>
    </xf>
    <xf numFmtId="0" fontId="2" fillId="5" borderId="32" xfId="3" applyFont="1" applyFill="1" applyBorder="1" applyAlignment="1">
      <alignment horizontal="center" vertical="center" wrapText="1"/>
    </xf>
    <xf numFmtId="0" fontId="2" fillId="5" borderId="33" xfId="3" applyFont="1" applyFill="1" applyBorder="1" applyAlignment="1">
      <alignment horizontal="center" vertical="center" wrapText="1"/>
    </xf>
    <xf numFmtId="0" fontId="2" fillId="2" borderId="34" xfId="3" applyFont="1" applyFill="1" applyBorder="1" applyAlignment="1">
      <alignment horizontal="center" vertical="center" wrapText="1"/>
    </xf>
    <xf numFmtId="0" fontId="2" fillId="2" borderId="35" xfId="3" applyFont="1" applyFill="1" applyBorder="1" applyAlignment="1">
      <alignment horizontal="center" vertical="center" wrapText="1"/>
    </xf>
    <xf numFmtId="0" fontId="2" fillId="2" borderId="36" xfId="3" applyFont="1" applyFill="1" applyBorder="1" applyAlignment="1">
      <alignment horizontal="center" vertical="center" wrapText="1"/>
    </xf>
    <xf numFmtId="0" fontId="2" fillId="6" borderId="34" xfId="3" applyFont="1" applyFill="1" applyBorder="1" applyAlignment="1">
      <alignment horizontal="center" vertical="center" wrapText="1"/>
    </xf>
    <xf numFmtId="0" fontId="2" fillId="6" borderId="35" xfId="3" applyFont="1" applyFill="1" applyBorder="1" applyAlignment="1">
      <alignment horizontal="center" vertical="center" wrapText="1"/>
    </xf>
    <xf numFmtId="0" fontId="2" fillId="6" borderId="36" xfId="3" applyFont="1" applyFill="1" applyBorder="1" applyAlignment="1">
      <alignment horizontal="center" vertical="center" wrapText="1"/>
    </xf>
    <xf numFmtId="0" fontId="2" fillId="4" borderId="34" xfId="3" applyFont="1" applyFill="1" applyBorder="1" applyAlignment="1">
      <alignment horizontal="center" vertical="center" wrapText="1"/>
    </xf>
    <xf numFmtId="0" fontId="2" fillId="4" borderId="35" xfId="3" applyFont="1" applyFill="1" applyBorder="1" applyAlignment="1">
      <alignment horizontal="center" vertical="center" wrapText="1"/>
    </xf>
    <xf numFmtId="0" fontId="2" fillId="4" borderId="36" xfId="3" applyFont="1" applyFill="1" applyBorder="1" applyAlignment="1">
      <alignment horizontal="center" vertical="center" wrapText="1"/>
    </xf>
    <xf numFmtId="0" fontId="2" fillId="6" borderId="32" xfId="3" applyFont="1" applyFill="1" applyBorder="1" applyAlignment="1">
      <alignment horizontal="center" vertical="center" wrapText="1"/>
    </xf>
    <xf numFmtId="0" fontId="2" fillId="6" borderId="37" xfId="3" applyFont="1" applyFill="1" applyBorder="1" applyAlignment="1">
      <alignment horizontal="center" vertical="center" wrapText="1"/>
    </xf>
    <xf numFmtId="0" fontId="2" fillId="6" borderId="33" xfId="3" applyFont="1" applyFill="1" applyBorder="1" applyAlignment="1">
      <alignment horizontal="center" vertical="center" wrapText="1"/>
    </xf>
    <xf numFmtId="0" fontId="3" fillId="4" borderId="32" xfId="3" applyFill="1" applyBorder="1"/>
    <xf numFmtId="0" fontId="2" fillId="0" borderId="0" xfId="1" applyFont="1" applyBorder="1"/>
    <xf numFmtId="0" fontId="2" fillId="0" borderId="0" xfId="1" applyFont="1" applyAlignment="1">
      <alignment horizontal="center"/>
    </xf>
    <xf numFmtId="0" fontId="2" fillId="0" borderId="0" xfId="1" applyFont="1"/>
    <xf numFmtId="9" fontId="2" fillId="0" borderId="0" xfId="2" applyFont="1"/>
    <xf numFmtId="0" fontId="2" fillId="0" borderId="0" xfId="1" applyFont="1" applyAlignment="1">
      <alignment horizontal="center" vertical="center"/>
    </xf>
    <xf numFmtId="9" fontId="2" fillId="3" borderId="4" xfId="2" applyFont="1" applyFill="1" applyBorder="1" applyAlignment="1">
      <alignment horizontal="center"/>
    </xf>
    <xf numFmtId="9" fontId="2" fillId="3" borderId="6" xfId="2" applyFont="1" applyFill="1" applyBorder="1" applyAlignment="1">
      <alignment horizontal="center"/>
    </xf>
    <xf numFmtId="9" fontId="2" fillId="11" borderId="4" xfId="2" applyFont="1" applyFill="1" applyBorder="1" applyAlignment="1">
      <alignment horizontal="center"/>
    </xf>
    <xf numFmtId="9" fontId="2" fillId="11" borderId="38" xfId="2" applyFont="1" applyFill="1" applyBorder="1" applyAlignment="1">
      <alignment horizontal="center"/>
    </xf>
    <xf numFmtId="0" fontId="2" fillId="11" borderId="25" xfId="3" applyFont="1" applyFill="1" applyBorder="1" applyAlignment="1">
      <alignment horizontal="center"/>
    </xf>
    <xf numFmtId="9" fontId="2" fillId="12" borderId="4" xfId="2" applyFont="1" applyFill="1" applyBorder="1" applyAlignment="1">
      <alignment horizontal="center"/>
    </xf>
    <xf numFmtId="9" fontId="2" fillId="12" borderId="6" xfId="2" applyFont="1" applyFill="1" applyBorder="1" applyAlignment="1">
      <alignment horizontal="center"/>
    </xf>
    <xf numFmtId="0" fontId="2" fillId="12" borderId="5" xfId="3" applyFont="1" applyFill="1" applyBorder="1" applyAlignment="1">
      <alignment horizontal="center"/>
    </xf>
    <xf numFmtId="9" fontId="2" fillId="13" borderId="4" xfId="2" applyFont="1" applyFill="1" applyBorder="1" applyAlignment="1">
      <alignment horizontal="center" vertical="center"/>
    </xf>
    <xf numFmtId="9" fontId="2" fillId="13" borderId="6" xfId="2" applyFont="1" applyFill="1" applyBorder="1" applyAlignment="1">
      <alignment horizontal="center"/>
    </xf>
    <xf numFmtId="0" fontId="2" fillId="13" borderId="5" xfId="3" applyFont="1" applyFill="1" applyBorder="1" applyAlignment="1">
      <alignment horizontal="center"/>
    </xf>
    <xf numFmtId="9" fontId="2" fillId="3" borderId="9" xfId="2" applyFont="1" applyFill="1" applyBorder="1" applyAlignment="1">
      <alignment horizontal="center"/>
    </xf>
    <xf numFmtId="9" fontId="2" fillId="3" borderId="11" xfId="2" applyFont="1" applyFill="1" applyBorder="1" applyAlignment="1">
      <alignment horizontal="center"/>
    </xf>
    <xf numFmtId="9" fontId="2" fillId="11" borderId="16" xfId="2" applyFont="1" applyFill="1" applyBorder="1" applyAlignment="1">
      <alignment horizontal="center"/>
    </xf>
    <xf numFmtId="9" fontId="2" fillId="11" borderId="22" xfId="2" applyFont="1" applyFill="1" applyBorder="1" applyAlignment="1">
      <alignment horizontal="center"/>
    </xf>
    <xf numFmtId="0" fontId="2" fillId="11" borderId="21" xfId="3" applyFont="1" applyFill="1" applyBorder="1" applyAlignment="1">
      <alignment horizontal="center"/>
    </xf>
    <xf numFmtId="9" fontId="2" fillId="12" borderId="9" xfId="2" applyFont="1" applyFill="1" applyBorder="1" applyAlignment="1">
      <alignment horizontal="center"/>
    </xf>
    <xf numFmtId="9" fontId="2" fillId="12" borderId="11" xfId="2" applyFont="1" applyFill="1" applyBorder="1" applyAlignment="1">
      <alignment horizontal="center"/>
    </xf>
    <xf numFmtId="0" fontId="2" fillId="12" borderId="10" xfId="3" applyFont="1" applyFill="1" applyBorder="1" applyAlignment="1">
      <alignment horizontal="center"/>
    </xf>
    <xf numFmtId="9" fontId="2" fillId="13" borderId="9" xfId="2" applyFont="1" applyFill="1" applyBorder="1" applyAlignment="1">
      <alignment horizontal="center" vertical="center"/>
    </xf>
    <xf numFmtId="9" fontId="2" fillId="13" borderId="11" xfId="2" applyFont="1" applyFill="1" applyBorder="1" applyAlignment="1">
      <alignment horizontal="center"/>
    </xf>
    <xf numFmtId="0" fontId="2" fillId="13" borderId="10" xfId="3" applyFont="1" applyFill="1" applyBorder="1" applyAlignment="1">
      <alignment horizontal="center"/>
    </xf>
    <xf numFmtId="9" fontId="2" fillId="14" borderId="9" xfId="2" applyFont="1" applyFill="1" applyBorder="1" applyAlignment="1">
      <alignment horizontal="center"/>
    </xf>
    <xf numFmtId="9" fontId="2" fillId="8" borderId="13" xfId="2" applyFont="1" applyFill="1" applyBorder="1" applyAlignment="1">
      <alignment horizontal="center" vertical="center"/>
    </xf>
    <xf numFmtId="9" fontId="2" fillId="8" borderId="11" xfId="2" applyFont="1" applyFill="1" applyBorder="1" applyAlignment="1">
      <alignment horizontal="center" vertical="center"/>
    </xf>
    <xf numFmtId="0" fontId="2" fillId="8" borderId="10" xfId="3" applyFont="1" applyFill="1" applyBorder="1" applyAlignment="1">
      <alignment horizontal="center"/>
    </xf>
    <xf numFmtId="0" fontId="2" fillId="8" borderId="21" xfId="3" applyFont="1" applyFill="1" applyBorder="1" applyAlignment="1">
      <alignment horizontal="center"/>
    </xf>
    <xf numFmtId="2" fontId="2" fillId="8" borderId="9" xfId="2" applyNumberFormat="1" applyFont="1" applyFill="1" applyBorder="1" applyAlignment="1">
      <alignment horizontal="center" vertical="center"/>
    </xf>
    <xf numFmtId="9" fontId="2" fillId="8" borderId="9" xfId="2" applyFont="1" applyFill="1" applyBorder="1" applyAlignment="1">
      <alignment horizontal="center" vertical="center"/>
    </xf>
    <xf numFmtId="0" fontId="2" fillId="8" borderId="1" xfId="3" applyFont="1" applyFill="1" applyBorder="1" applyAlignment="1">
      <alignment horizontal="center"/>
    </xf>
    <xf numFmtId="9" fontId="2" fillId="8" borderId="9" xfId="2" applyFont="1" applyFill="1" applyBorder="1" applyAlignment="1">
      <alignment horizontal="center"/>
    </xf>
    <xf numFmtId="9" fontId="2" fillId="8" borderId="16" xfId="2" applyFont="1" applyFill="1" applyBorder="1" applyAlignment="1">
      <alignment horizontal="center"/>
    </xf>
    <xf numFmtId="9" fontId="2" fillId="14" borderId="16" xfId="2" applyFont="1" applyFill="1" applyBorder="1" applyAlignment="1">
      <alignment horizontal="center"/>
    </xf>
    <xf numFmtId="9" fontId="2" fillId="3" borderId="22" xfId="2" applyFont="1" applyFill="1" applyBorder="1" applyAlignment="1">
      <alignment horizontal="center"/>
    </xf>
    <xf numFmtId="9" fontId="2" fillId="11" borderId="18" xfId="2" applyFont="1" applyFill="1" applyBorder="1" applyAlignment="1">
      <alignment horizontal="center"/>
    </xf>
    <xf numFmtId="9" fontId="2" fillId="11" borderId="20" xfId="2" applyFont="1" applyFill="1" applyBorder="1" applyAlignment="1">
      <alignment horizontal="center"/>
    </xf>
    <xf numFmtId="0" fontId="2" fillId="11" borderId="19" xfId="3" applyFont="1" applyFill="1" applyBorder="1" applyAlignment="1">
      <alignment horizontal="center"/>
    </xf>
    <xf numFmtId="9" fontId="2" fillId="3" borderId="16" xfId="2" applyFont="1" applyFill="1" applyBorder="1" applyAlignment="1">
      <alignment horizontal="center"/>
    </xf>
    <xf numFmtId="9" fontId="2" fillId="12" borderId="16" xfId="2" applyFont="1" applyFill="1" applyBorder="1" applyAlignment="1">
      <alignment horizontal="center"/>
    </xf>
    <xf numFmtId="9" fontId="2" fillId="12" borderId="22" xfId="2" applyFont="1" applyFill="1" applyBorder="1" applyAlignment="1">
      <alignment horizontal="center"/>
    </xf>
    <xf numFmtId="0" fontId="2" fillId="12" borderId="21" xfId="3" applyFont="1" applyFill="1" applyBorder="1" applyAlignment="1">
      <alignment horizontal="center"/>
    </xf>
    <xf numFmtId="9" fontId="2" fillId="13" borderId="16" xfId="2" applyFont="1" applyFill="1" applyBorder="1" applyAlignment="1">
      <alignment horizontal="center" vertical="center"/>
    </xf>
    <xf numFmtId="9" fontId="2" fillId="13" borderId="22" xfId="2" applyFont="1" applyFill="1" applyBorder="1" applyAlignment="1">
      <alignment horizontal="center"/>
    </xf>
    <xf numFmtId="0" fontId="2" fillId="13" borderId="21" xfId="3" applyFont="1" applyFill="1" applyBorder="1" applyAlignment="1">
      <alignment horizontal="center"/>
    </xf>
    <xf numFmtId="0" fontId="1" fillId="0" borderId="0" xfId="1" applyBorder="1" applyAlignment="1">
      <alignment horizontal="center" vertical="center" wrapText="1"/>
    </xf>
    <xf numFmtId="0" fontId="2" fillId="14" borderId="27" xfId="3" applyFont="1" applyFill="1" applyBorder="1" applyAlignment="1">
      <alignment horizontal="center" vertical="center" wrapText="1"/>
    </xf>
    <xf numFmtId="0" fontId="2" fillId="3" borderId="28" xfId="3" applyFont="1" applyFill="1" applyBorder="1" applyAlignment="1">
      <alignment horizontal="center" vertical="center" wrapText="1"/>
    </xf>
    <xf numFmtId="0" fontId="2" fillId="3" borderId="29" xfId="3" applyFont="1" applyFill="1" applyBorder="1" applyAlignment="1">
      <alignment horizontal="center" vertical="center" wrapText="1"/>
    </xf>
    <xf numFmtId="0" fontId="2" fillId="11" borderId="27" xfId="3" applyFont="1" applyFill="1" applyBorder="1" applyAlignment="1">
      <alignment horizontal="center"/>
    </xf>
    <xf numFmtId="0" fontId="2" fillId="11" borderId="28" xfId="3" applyFont="1" applyFill="1" applyBorder="1" applyAlignment="1">
      <alignment horizontal="center"/>
    </xf>
    <xf numFmtId="0" fontId="2" fillId="11" borderId="29" xfId="3" applyFont="1" applyFill="1" applyBorder="1" applyAlignment="1">
      <alignment horizontal="center"/>
    </xf>
    <xf numFmtId="0" fontId="2" fillId="3" borderId="27" xfId="3" applyFont="1" applyFill="1" applyBorder="1" applyAlignment="1">
      <alignment horizontal="center" vertical="center" wrapText="1"/>
    </xf>
    <xf numFmtId="0" fontId="2" fillId="12" borderId="27" xfId="3" applyFont="1" applyFill="1" applyBorder="1" applyAlignment="1">
      <alignment horizontal="center" vertical="center" wrapText="1"/>
    </xf>
    <xf numFmtId="0" fontId="2" fillId="12" borderId="28" xfId="3" applyFont="1" applyFill="1" applyBorder="1" applyAlignment="1">
      <alignment horizontal="center" vertical="center" wrapText="1"/>
    </xf>
    <xf numFmtId="0" fontId="2" fillId="12" borderId="29" xfId="3" applyFont="1" applyFill="1" applyBorder="1" applyAlignment="1">
      <alignment horizontal="center" vertical="center" wrapText="1"/>
    </xf>
    <xf numFmtId="0" fontId="2" fillId="13" borderId="27" xfId="3" applyFont="1" applyFill="1" applyBorder="1" applyAlignment="1">
      <alignment horizontal="center" vertical="center" wrapText="1"/>
    </xf>
    <xf numFmtId="0" fontId="2" fillId="13" borderId="28" xfId="3" applyFont="1" applyFill="1" applyBorder="1" applyAlignment="1">
      <alignment horizontal="center" vertical="center" wrapText="1"/>
    </xf>
    <xf numFmtId="0" fontId="2" fillId="13" borderId="29" xfId="3" applyFont="1" applyFill="1" applyBorder="1" applyAlignment="1">
      <alignment horizontal="center" vertical="center" wrapText="1"/>
    </xf>
    <xf numFmtId="0" fontId="2" fillId="2" borderId="32" xfId="3" applyFont="1" applyFill="1" applyBorder="1" applyAlignment="1">
      <alignment horizontal="center" vertical="center" wrapText="1"/>
    </xf>
    <xf numFmtId="0" fontId="2" fillId="3" borderId="37" xfId="3" applyFont="1" applyFill="1" applyBorder="1" applyAlignment="1">
      <alignment horizontal="center" vertical="center" wrapText="1"/>
    </xf>
    <xf numFmtId="0" fontId="2" fillId="11" borderId="27" xfId="3" applyFont="1" applyFill="1" applyBorder="1" applyAlignment="1">
      <alignment horizontal="center" vertical="center" wrapText="1"/>
    </xf>
    <xf numFmtId="0" fontId="2" fillId="11" borderId="28" xfId="3" applyFont="1" applyFill="1" applyBorder="1" applyAlignment="1">
      <alignment horizontal="center" vertical="center" wrapText="1"/>
    </xf>
    <xf numFmtId="0" fontId="2" fillId="11" borderId="29" xfId="3" applyFont="1" applyFill="1" applyBorder="1" applyAlignment="1">
      <alignment horizontal="center" vertical="center" wrapText="1"/>
    </xf>
    <xf numFmtId="0" fontId="2" fillId="12" borderId="32" xfId="3" applyFont="1" applyFill="1" applyBorder="1" applyAlignment="1">
      <alignment horizontal="center" vertical="center" wrapText="1"/>
    </xf>
    <xf numFmtId="0" fontId="2" fillId="12" borderId="37" xfId="3" applyFont="1" applyFill="1" applyBorder="1" applyAlignment="1">
      <alignment horizontal="center" vertical="center" wrapText="1"/>
    </xf>
    <xf numFmtId="0" fontId="2" fillId="12" borderId="33" xfId="3" applyFont="1" applyFill="1" applyBorder="1" applyAlignment="1">
      <alignment horizontal="center" vertical="center" wrapText="1"/>
    </xf>
    <xf numFmtId="0" fontId="2" fillId="13" borderId="37" xfId="3" applyFont="1" applyFill="1" applyBorder="1" applyAlignment="1">
      <alignment horizontal="center" vertical="center" wrapText="1"/>
    </xf>
    <xf numFmtId="0" fontId="2" fillId="13" borderId="33" xfId="3" applyFont="1" applyFill="1" applyBorder="1" applyAlignment="1">
      <alignment horizontal="center" vertical="center" wrapText="1"/>
    </xf>
    <xf numFmtId="0" fontId="2" fillId="2" borderId="37" xfId="3" applyFont="1" applyFill="1" applyBorder="1" applyAlignment="1">
      <alignment horizontal="center" vertical="center" wrapText="1"/>
    </xf>
    <xf numFmtId="0" fontId="1" fillId="0" borderId="0" xfId="1" applyBorder="1" applyAlignment="1">
      <alignment horizontal="center"/>
    </xf>
    <xf numFmtId="0" fontId="4" fillId="0" borderId="0" xfId="1" applyFont="1" applyAlignment="1"/>
    <xf numFmtId="14" fontId="2" fillId="0" borderId="22" xfId="1" applyNumberFormat="1" applyFont="1" applyBorder="1" applyAlignment="1">
      <alignment horizontal="center"/>
    </xf>
    <xf numFmtId="0" fontId="2" fillId="0" borderId="39" xfId="1" applyFont="1" applyFill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4" fillId="0" borderId="0" xfId="1" applyFont="1" applyBorder="1" applyAlignment="1"/>
    <xf numFmtId="0" fontId="4" fillId="0" borderId="32" xfId="1" applyFont="1" applyBorder="1" applyAlignment="1">
      <alignment horizontal="center"/>
    </xf>
    <xf numFmtId="0" fontId="4" fillId="0" borderId="37" xfId="1" applyFont="1" applyBorder="1" applyAlignment="1">
      <alignment horizontal="center"/>
    </xf>
    <xf numFmtId="0" fontId="4" fillId="0" borderId="33" xfId="1" applyFont="1" applyBorder="1" applyAlignment="1">
      <alignment horizontal="center"/>
    </xf>
  </cellXfs>
  <cellStyles count="4">
    <cellStyle name="Normal" xfId="0" builtinId="0"/>
    <cellStyle name="Normal 2" xfId="1"/>
    <cellStyle name="Normal 2 2" xfId="3"/>
    <cellStyle name="Percen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Style="combo" dx="21" fmlaLink="B32" fmlaRange="workings!$A$1:$A$32" noThreeD="1" sel="0" val="0"/>
</file>

<file path=xl/ctrlProps/ctrlProp2.xml><?xml version="1.0" encoding="utf-8"?>
<formControlPr xmlns="http://schemas.microsoft.com/office/spreadsheetml/2009/9/main" objectType="Drop" dropStyle="combo" dx="21" fmlaLink="B4" fmlaRange="New_Result_set" noThreeD="1" sel="1" val="0"/>
</file>

<file path=xl/ctrlProps/ctrlProp3.xml><?xml version="1.0" encoding="utf-8"?>
<formControlPr xmlns="http://schemas.microsoft.com/office/spreadsheetml/2009/9/main" objectType="Drop" dropStyle="combo" dx="21" fmlaLink="B32" fmlaRange="workings!$A$1:$A$32" noThreeD="1" sel="0" val="0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9525</xdr:colOff>
          <xdr:row>30</xdr:row>
          <xdr:rowOff>219075</xdr:rowOff>
        </xdr:from>
        <xdr:ext cx="1685925" cy="266700"/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9525</xdr:colOff>
          <xdr:row>3</xdr:row>
          <xdr:rowOff>9525</xdr:rowOff>
        </xdr:from>
        <xdr:ext cx="1685925" cy="244929"/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9525</xdr:colOff>
          <xdr:row>57</xdr:row>
          <xdr:rowOff>219075</xdr:rowOff>
        </xdr:from>
        <xdr:ext cx="1685925" cy="266700"/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>
    <pageSetUpPr fitToPage="1"/>
  </sheetPr>
  <dimension ref="B1:AN63"/>
  <sheetViews>
    <sheetView tabSelected="1" zoomScale="70" zoomScaleNormal="70" workbookViewId="0"/>
  </sheetViews>
  <sheetFormatPr defaultRowHeight="12.75" x14ac:dyDescent="0.2"/>
  <cols>
    <col min="1" max="1" width="7.7109375" style="1" customWidth="1"/>
    <col min="2" max="2" width="0.140625" style="1" customWidth="1"/>
    <col min="3" max="3" width="28.140625" style="1" customWidth="1"/>
    <col min="4" max="4" width="9.7109375" style="1" customWidth="1"/>
    <col min="5" max="5" width="10.42578125" style="1" customWidth="1"/>
    <col min="6" max="6" width="8.5703125" style="1" customWidth="1"/>
    <col min="7" max="7" width="10" style="1" customWidth="1"/>
    <col min="8" max="8" width="10" style="11" customWidth="1"/>
    <col min="9" max="9" width="9.140625" style="1" customWidth="1"/>
    <col min="10" max="12" width="10" style="1" customWidth="1"/>
    <col min="13" max="14" width="9" style="1" customWidth="1"/>
    <col min="15" max="17" width="9.85546875" style="1" customWidth="1"/>
    <col min="18" max="18" width="10.42578125" style="1" customWidth="1"/>
    <col min="19" max="19" width="11.28515625" style="1" customWidth="1"/>
    <col min="20" max="20" width="8.85546875" style="1" customWidth="1"/>
    <col min="21" max="21" width="9.140625" style="1"/>
    <col min="22" max="22" width="11.42578125" style="1" customWidth="1"/>
    <col min="23" max="23" width="8.7109375" style="1" customWidth="1"/>
    <col min="24" max="25" width="9.42578125" style="1" customWidth="1"/>
    <col min="26" max="26" width="9.42578125" style="10" customWidth="1"/>
    <col min="27" max="27" width="9.140625" style="1" customWidth="1"/>
    <col min="28" max="28" width="9" style="1" customWidth="1"/>
    <col min="29" max="29" width="9" style="10" customWidth="1"/>
    <col min="30" max="30" width="7.5703125" style="1" customWidth="1"/>
    <col min="31" max="34" width="8.7109375" style="1" customWidth="1"/>
    <col min="35" max="35" width="8.28515625" style="1" customWidth="1"/>
    <col min="36" max="16384" width="9.140625" style="1"/>
  </cols>
  <sheetData>
    <row r="1" spans="2:40" ht="13.5" thickBot="1" x14ac:dyDescent="0.25"/>
    <row r="2" spans="2:40" ht="24" thickBot="1" x14ac:dyDescent="0.4">
      <c r="C2" s="134" t="s">
        <v>379</v>
      </c>
      <c r="D2" s="132">
        <f>COUNTIFS(Result_set,INDEX(New_Result_set,B4),measure,"CAS Attainment 8")</f>
        <v>176</v>
      </c>
      <c r="E2" s="134"/>
      <c r="F2" s="212" t="str">
        <f>CONCATENATE("Key Groups Analysis Year ",'student data'!D2," ",INDEX(New_Result_set,$B$4))</f>
        <v>Key Groups Analysis Year 10 TP Year 10 Autumn Term</v>
      </c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0"/>
      <c r="V2" s="209"/>
      <c r="W2" s="209"/>
      <c r="X2" s="209"/>
      <c r="Y2" s="209"/>
      <c r="Z2" s="209"/>
      <c r="AA2" s="209"/>
      <c r="AB2" s="209"/>
      <c r="AC2" s="204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</row>
    <row r="3" spans="2:40" ht="23.25" x14ac:dyDescent="0.35">
      <c r="C3" s="134" t="s">
        <v>378</v>
      </c>
      <c r="D3" s="132"/>
      <c r="E3" s="134"/>
      <c r="J3" s="208"/>
      <c r="K3" s="208"/>
      <c r="L3" s="208"/>
      <c r="M3" s="208"/>
      <c r="N3" s="208"/>
      <c r="O3" s="208"/>
      <c r="P3" s="208"/>
      <c r="Q3" s="208"/>
      <c r="R3" s="208"/>
      <c r="AA3" s="6"/>
      <c r="AB3" s="6"/>
      <c r="AC3" s="204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</row>
    <row r="4" spans="2:40" ht="19.5" customHeight="1" x14ac:dyDescent="0.2">
      <c r="B4" s="1">
        <v>1</v>
      </c>
      <c r="AA4" s="6"/>
      <c r="AB4" s="6"/>
      <c r="AC4" s="204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</row>
    <row r="5" spans="2:40" ht="19.5" customHeight="1" x14ac:dyDescent="0.25">
      <c r="C5" s="207" t="s">
        <v>377</v>
      </c>
      <c r="AA5" s="6"/>
      <c r="AB5" s="6"/>
      <c r="AC5" s="204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</row>
    <row r="6" spans="2:40" ht="19.5" customHeight="1" x14ac:dyDescent="0.25">
      <c r="C6" s="206">
        <v>42248</v>
      </c>
      <c r="AA6" s="6"/>
      <c r="AB6" s="6"/>
      <c r="AC6" s="204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</row>
    <row r="7" spans="2:40" ht="20.25" customHeight="1" thickBot="1" x14ac:dyDescent="0.4">
      <c r="J7" s="205"/>
      <c r="K7" s="205"/>
      <c r="L7" s="205"/>
      <c r="M7" s="205"/>
      <c r="N7" s="205"/>
      <c r="O7" s="205"/>
      <c r="P7" s="205"/>
      <c r="Q7" s="205"/>
      <c r="AA7" s="6"/>
      <c r="AB7" s="6"/>
      <c r="AC7" s="204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</row>
    <row r="8" spans="2:40" s="108" customFormat="1" ht="36.75" customHeight="1" thickBot="1" x14ac:dyDescent="0.25">
      <c r="D8" s="114" t="s">
        <v>370</v>
      </c>
      <c r="E8" s="129"/>
      <c r="F8" s="203" t="s">
        <v>329</v>
      </c>
      <c r="G8" s="109"/>
      <c r="H8" s="202" t="s">
        <v>376</v>
      </c>
      <c r="I8" s="201"/>
      <c r="J8" s="201" t="s">
        <v>358</v>
      </c>
      <c r="K8" s="200" t="s">
        <v>375</v>
      </c>
      <c r="L8" s="199"/>
      <c r="M8" s="198" t="s">
        <v>358</v>
      </c>
      <c r="N8" s="112" t="s">
        <v>374</v>
      </c>
      <c r="O8" s="194"/>
      <c r="P8" s="111" t="s">
        <v>358</v>
      </c>
      <c r="Q8" s="197" t="s">
        <v>373</v>
      </c>
      <c r="R8" s="196"/>
      <c r="S8" s="195" t="s">
        <v>358</v>
      </c>
      <c r="T8" s="112" t="s">
        <v>372</v>
      </c>
      <c r="U8" s="194"/>
      <c r="V8" s="111" t="s">
        <v>358</v>
      </c>
      <c r="Z8" s="179"/>
      <c r="AA8" s="179"/>
      <c r="AB8" s="179"/>
    </row>
    <row r="9" spans="2:40" s="108" customFormat="1" ht="36.75" customHeight="1" thickBot="1" x14ac:dyDescent="0.3">
      <c r="D9" s="104" t="s">
        <v>54</v>
      </c>
      <c r="E9" s="107" t="s">
        <v>359</v>
      </c>
      <c r="F9" s="98" t="s">
        <v>357</v>
      </c>
      <c r="G9" s="193" t="s">
        <v>371</v>
      </c>
      <c r="H9" s="192" t="s">
        <v>357</v>
      </c>
      <c r="I9" s="191" t="s">
        <v>359</v>
      </c>
      <c r="J9" s="190" t="s">
        <v>358</v>
      </c>
      <c r="K9" s="189" t="s">
        <v>357</v>
      </c>
      <c r="L9" s="188" t="s">
        <v>359</v>
      </c>
      <c r="M9" s="187" t="s">
        <v>358</v>
      </c>
      <c r="N9" s="182" t="s">
        <v>357</v>
      </c>
      <c r="O9" s="181" t="s">
        <v>359</v>
      </c>
      <c r="P9" s="186" t="s">
        <v>358</v>
      </c>
      <c r="Q9" s="185" t="s">
        <v>357</v>
      </c>
      <c r="R9" s="184" t="s">
        <v>359</v>
      </c>
      <c r="S9" s="183" t="s">
        <v>358</v>
      </c>
      <c r="T9" s="182" t="s">
        <v>357</v>
      </c>
      <c r="U9" s="181" t="s">
        <v>359</v>
      </c>
      <c r="V9" s="180" t="s">
        <v>358</v>
      </c>
      <c r="Z9" s="179"/>
      <c r="AA9" s="179"/>
      <c r="AB9" s="179"/>
    </row>
    <row r="10" spans="2:40" ht="18" x14ac:dyDescent="0.25">
      <c r="C10" s="87" t="s">
        <v>355</v>
      </c>
      <c r="D10" s="76">
        <f>COUNTIFS(Result_set,INDEX(New_Result_set,$B$4),measure,"CAS Attainment 8")</f>
        <v>176</v>
      </c>
      <c r="E10" s="86">
        <f>IFERROR(D10/$D$2,"")</f>
        <v>1</v>
      </c>
      <c r="F10" s="78">
        <f>COUNTIFS(Result_set,INDEX(New_Result_set,$B$4),measure,"CAS Attainment 8",KS2_APS,"&lt;&gt;")</f>
        <v>176</v>
      </c>
      <c r="G10" s="62">
        <f>IFERROR(AVERAGEIFS(KS2_APS,measure,"CAS Attainment 8",KS2_APS,"&lt;&gt;",Result_set,INDEX(New_Result_set,$B$4)),"")</f>
        <v>25.852840909090858</v>
      </c>
      <c r="H10" s="178">
        <f>COUNTIFS(Result_set,INDEX(New_Result_set,$B$4),measure,"CAS Passed English?",Result,"Y")</f>
        <v>100</v>
      </c>
      <c r="I10" s="177">
        <f>IFERROR(H10/D10,"")</f>
        <v>0.56818181818181823</v>
      </c>
      <c r="J10" s="176">
        <v>0.67</v>
      </c>
      <c r="K10" s="175">
        <f>COUNTIFS(Result_set,INDEX(New_Result_set,$B$4),measure,"CAS Passed Maths?",Result,"Y")</f>
        <v>98</v>
      </c>
      <c r="L10" s="174">
        <f>IFERROR(K10/D10,"")</f>
        <v>0.55681818181818177</v>
      </c>
      <c r="M10" s="173">
        <v>0.67</v>
      </c>
      <c r="N10" s="74">
        <f>COUNTIFS(Result_set,INDEX(New_Result_set,$B$4),measure,"CAS Passed En and ma?",Result,"Y")</f>
        <v>85</v>
      </c>
      <c r="O10" s="168">
        <f>IFERROR(N10/D10,"")</f>
        <v>0.48295454545454547</v>
      </c>
      <c r="P10" s="172">
        <v>0.57999999999999996</v>
      </c>
      <c r="Q10" s="171">
        <f>COUNTIFS(Result_set,INDEX(New_Result_set,$B$4),measure,"CAS English Bac",Result,"Y")</f>
        <v>58</v>
      </c>
      <c r="R10" s="170">
        <f>IFERROR(Q10/D10,"")</f>
        <v>0.32954545454545453</v>
      </c>
      <c r="S10" s="169">
        <v>0.24</v>
      </c>
      <c r="T10" s="74">
        <f>COUNTIFS(Result_set,INDEX(New_Result_set,$B$4),measure,"CAS 5 Good GCSEs with En &amp; Ma",Result,"Y")</f>
        <v>85</v>
      </c>
      <c r="U10" s="168">
        <f>IFERROR(T10/D10,"")</f>
        <v>0.48295454545454547</v>
      </c>
      <c r="V10" s="167">
        <v>0.56000000000000005</v>
      </c>
      <c r="Z10" s="6"/>
      <c r="AA10" s="6"/>
      <c r="AB10" s="6"/>
      <c r="AC10" s="1"/>
    </row>
    <row r="11" spans="2:40" ht="18" x14ac:dyDescent="0.25">
      <c r="C11" s="61" t="s">
        <v>354</v>
      </c>
      <c r="D11" s="36">
        <f>COUNTIFS(Result_set,INDEX(New_Result_set,$B$4),measure,"CAS Attainment 8",Gender,"M")</f>
        <v>86</v>
      </c>
      <c r="E11" s="45">
        <f>IFERROR(D11/$D$2,"")</f>
        <v>0.48863636363636365</v>
      </c>
      <c r="F11" s="32">
        <f>COUNTIFS(Result_set,INDEX(New_Result_set,$B$4),measure,"CAS Attainment 8",KS2_APS,"&lt;&gt;",Gender,"M")</f>
        <v>86</v>
      </c>
      <c r="G11" s="31">
        <f>IFERROR(SUMIFS(KS2_APS,Gender,"M",KS2_APS,"&lt;&gt;",measure,"CAS Attainment 8",Result_set,INDEX(New_Result_set,$B$4))/F11,"")</f>
        <v>26.0162790697674</v>
      </c>
      <c r="H11" s="156">
        <f>COUNTIFS(Result_set,INDEX(New_Result_set,$B$4),measure,"CAS Passed English?",Result,"Y",Gender,"M")</f>
        <v>53</v>
      </c>
      <c r="I11" s="155">
        <f>IFERROR(H11/D11,"")</f>
        <v>0.61627906976744184</v>
      </c>
      <c r="J11" s="154">
        <v>0.61</v>
      </c>
      <c r="K11" s="153">
        <f>COUNTIFS(Result_set,INDEX(New_Result_set,$B$4),measure,"CAS Passed Maths?",Result,"Y",Gender,"M")</f>
        <v>46</v>
      </c>
      <c r="L11" s="152">
        <f>IFERROR(K11/D11,"")</f>
        <v>0.53488372093023251</v>
      </c>
      <c r="M11" s="151">
        <v>0.67</v>
      </c>
      <c r="N11" s="34">
        <f>COUNTIFS(Result_set,INDEX(New_Result_set,$B$4),measure,"CAS Passed En and ma?",Result,"Y",Gender,"M")</f>
        <v>42</v>
      </c>
      <c r="O11" s="147">
        <f>IFERROR(N11/D11,"")</f>
        <v>0.48837209302325579</v>
      </c>
      <c r="P11" s="146">
        <v>0.54</v>
      </c>
      <c r="Q11" s="150">
        <f>COUNTIFS(Result_set,INDEX(New_Result_set,$B$4),measure,"CAS English Bac",Result,"Y",Gender,"M")</f>
        <v>30</v>
      </c>
      <c r="R11" s="149">
        <f>IFERROR(Q11/D11,"")</f>
        <v>0.34883720930232559</v>
      </c>
      <c r="S11" s="148">
        <v>0.19</v>
      </c>
      <c r="T11" s="34">
        <f>COUNTIFS(Result_set,INDEX(New_Result_set,$B$4),measure,"CAS 5 Good GCSEs with En &amp; Ma",Result,"Y",Gender,"M")</f>
        <v>42</v>
      </c>
      <c r="U11" s="147">
        <f>IFERROR(T11/D11,"")</f>
        <v>0.48837209302325579</v>
      </c>
      <c r="V11" s="157">
        <v>0.51</v>
      </c>
      <c r="Z11" s="6"/>
      <c r="AA11" s="6"/>
      <c r="AB11" s="6"/>
      <c r="AC11" s="1"/>
    </row>
    <row r="12" spans="2:40" ht="18" x14ac:dyDescent="0.25">
      <c r="C12" s="61" t="s">
        <v>353</v>
      </c>
      <c r="D12" s="36">
        <f>COUNTIFS(Result_set,INDEX(New_Result_set,$B$4),measure,"CAS Attainment 8",Gender,"F")</f>
        <v>90</v>
      </c>
      <c r="E12" s="45">
        <f>IFERROR(D12/$D$2,"")</f>
        <v>0.51136363636363635</v>
      </c>
      <c r="F12" s="32">
        <f>COUNTIFS(Result_set,INDEX(New_Result_set,$B$4),measure,"CAS Attainment 8",KS2_APS,"&lt;&gt;",Gender,"F")</f>
        <v>90</v>
      </c>
      <c r="G12" s="31">
        <f>IFERROR(SUMIFS(KS2_APS,Gender,"F",KS2_APS,"&lt;&gt;",measure,"CAS Attainment 8",Result_set,INDEX(New_Result_set,$B$4))/F12,"")</f>
        <v>25.696666666666616</v>
      </c>
      <c r="H12" s="156">
        <f>COUNTIFS(Result_set,INDEX(New_Result_set,$B$4),measure,"CAS Passed English?",Result,"Y",Gender,"F")</f>
        <v>47</v>
      </c>
      <c r="I12" s="155">
        <f>IFERROR(H12/D12,"")</f>
        <v>0.52222222222222225</v>
      </c>
      <c r="J12" s="154">
        <v>0.74</v>
      </c>
      <c r="K12" s="153">
        <f>COUNTIFS(Result_set,INDEX(New_Result_set,$B$4),measure,"CAS Passed Maths?",Result,"Y",Gender,"F")</f>
        <v>52</v>
      </c>
      <c r="L12" s="152">
        <f>IFERROR(K12/D12,"")</f>
        <v>0.57777777777777772</v>
      </c>
      <c r="M12" s="151">
        <v>0.68</v>
      </c>
      <c r="N12" s="34">
        <f>COUNTIFS(Result_set,INDEX(New_Result_set,$B$4),measure,"CAS Passed En and ma?",Result,"Y",Gender,"F")</f>
        <v>43</v>
      </c>
      <c r="O12" s="147">
        <f>IFERROR(N12/D12,"")</f>
        <v>0.4777777777777778</v>
      </c>
      <c r="P12" s="146">
        <v>0.62</v>
      </c>
      <c r="Q12" s="150">
        <f>COUNTIFS(Result_set,INDEX(New_Result_set,$B$4),measure,"CAS English Bac",Result,"Y",Gender,"F")</f>
        <v>28</v>
      </c>
      <c r="R12" s="149">
        <f>IFERROR(Q12/D12,"")</f>
        <v>0.31111111111111112</v>
      </c>
      <c r="S12" s="148">
        <v>0.28999999999999998</v>
      </c>
      <c r="T12" s="34">
        <f>COUNTIFS(Result_set,INDEX(New_Result_set,$B$4),measure,"CAS 5 Good GCSEs with En &amp; Ma",Result,"Y",Gender,"F")</f>
        <v>43</v>
      </c>
      <c r="U12" s="147">
        <f>IFERROR(T12/D12,"")</f>
        <v>0.4777777777777778</v>
      </c>
      <c r="V12" s="157">
        <v>0.6</v>
      </c>
      <c r="Z12" s="6"/>
      <c r="AA12" s="6"/>
      <c r="AB12" s="6"/>
      <c r="AC12" s="1"/>
    </row>
    <row r="13" spans="2:40" ht="18" x14ac:dyDescent="0.25">
      <c r="C13" s="66" t="s">
        <v>352</v>
      </c>
      <c r="D13" s="160" t="s">
        <v>336</v>
      </c>
      <c r="E13" s="163">
        <f>IFERROR(ABS(E11-E12),"")</f>
        <v>2.2727272727272707E-2</v>
      </c>
      <c r="F13" s="160" t="s">
        <v>336</v>
      </c>
      <c r="G13" s="162">
        <f>IFERROR(ABS(G11-G12),"")</f>
        <v>0.31961240310078409</v>
      </c>
      <c r="H13" s="160" t="s">
        <v>336</v>
      </c>
      <c r="I13" s="159">
        <f>IFERROR(ABS(I11-I12),"")</f>
        <v>9.4056847545219591E-2</v>
      </c>
      <c r="J13" s="158">
        <f>IFERROR(ABS(J11-J12),"")</f>
        <v>0.13</v>
      </c>
      <c r="K13" s="160" t="s">
        <v>336</v>
      </c>
      <c r="L13" s="159">
        <f>IFERROR(ABS(L11-L12),"")</f>
        <v>4.2894056847545214E-2</v>
      </c>
      <c r="M13" s="158">
        <f>IFERROR(ABS(M11-M12),"")</f>
        <v>1.0000000000000009E-2</v>
      </c>
      <c r="N13" s="160" t="s">
        <v>336</v>
      </c>
      <c r="O13" s="159">
        <f>IFERROR(ABS(O11-O12),"")</f>
        <v>1.0594315245477992E-2</v>
      </c>
      <c r="P13" s="158">
        <f>IFERROR(ABS(P11-P12),"")</f>
        <v>7.999999999999996E-2</v>
      </c>
      <c r="Q13" s="161" t="s">
        <v>336</v>
      </c>
      <c r="R13" s="159">
        <f>IFERROR(ABS(R11-R12),"")</f>
        <v>3.7726098191214474E-2</v>
      </c>
      <c r="S13" s="158">
        <f>IFERROR(ABS(S11-S12),"")</f>
        <v>9.9999999999999978E-2</v>
      </c>
      <c r="T13" s="160" t="s">
        <v>336</v>
      </c>
      <c r="U13" s="159">
        <f>IFERROR(ABS(U11-U12),"")</f>
        <v>1.0594315245477992E-2</v>
      </c>
      <c r="V13" s="158">
        <f>IFERROR(ABS(V11-V12),"")</f>
        <v>8.9999999999999969E-2</v>
      </c>
      <c r="Z13" s="6"/>
      <c r="AA13" s="6"/>
      <c r="AB13" s="6"/>
      <c r="AC13" s="1"/>
    </row>
    <row r="14" spans="2:40" ht="18" x14ac:dyDescent="0.25">
      <c r="C14" s="61" t="s">
        <v>351</v>
      </c>
      <c r="D14" s="36">
        <f>COUNTIFS(Result_set,INDEX(New_Result_set,$B$4),measure,"CAS Attainment 8",Pupil_Premium,"T")</f>
        <v>23</v>
      </c>
      <c r="E14" s="45">
        <f>IFERROR(D14/$D$2,"")</f>
        <v>0.13068181818181818</v>
      </c>
      <c r="F14" s="32">
        <f>COUNTIFS(Result_set,INDEX(New_Result_set,$B$4),measure,"CAS Attainment 8",KS2_APS,"&lt;&gt;",Pupil_Premium,"T")</f>
        <v>23</v>
      </c>
      <c r="G14" s="31">
        <f>IFERROR(SUMIFS(KS2_APS,Pupil_Premium,"T",KS2_APS,"&lt;&gt;",measure,"CAS Attainment 8",Result_set,INDEX(New_Result_set,$B$4))/F14,"")</f>
        <v>29.368695652173905</v>
      </c>
      <c r="H14" s="156">
        <f>COUNTIFS(Result_set,INDEX(New_Result_set,$B$4),measure,"CAS Passed English?",Result,"Y",Pupil_Premium,"T")</f>
        <v>17</v>
      </c>
      <c r="I14" s="155">
        <f>IFERROR(H14/D14,"")</f>
        <v>0.73913043478260865</v>
      </c>
      <c r="J14" s="154">
        <v>0.51</v>
      </c>
      <c r="K14" s="153">
        <f>COUNTIFS(Result_set,INDEX(New_Result_set,$B$4),measure,"CAS Passed Maths?",Result,"Y",Pupil_Premium,"T")</f>
        <v>18</v>
      </c>
      <c r="L14" s="152">
        <f>IFERROR(K14/D14,"")</f>
        <v>0.78260869565217395</v>
      </c>
      <c r="M14" s="151">
        <v>0.49</v>
      </c>
      <c r="N14" s="34">
        <f>COUNTIFS(Result_set,INDEX(New_Result_set,$B$4),measure,"CAS Passed En and ma?",Result,"Y",Pupil_Premium,"T")</f>
        <v>15</v>
      </c>
      <c r="O14" s="147">
        <f>IFERROR(N14/D14,"")</f>
        <v>0.65217391304347827</v>
      </c>
      <c r="P14" s="146">
        <v>0.38</v>
      </c>
      <c r="Q14" s="150">
        <f>COUNTIFS(Result_set,INDEX(New_Result_set,$B$4),measure,"CAS English Bac",Result,"Y",Pupil_Premium,"T")</f>
        <v>8</v>
      </c>
      <c r="R14" s="149">
        <f>IFERROR(Q14/D14,"")</f>
        <v>0.34782608695652173</v>
      </c>
      <c r="S14" s="148">
        <v>0.11</v>
      </c>
      <c r="T14" s="34">
        <f>COUNTIFS(Result_set,INDEX(New_Result_set,$B$4),measure,"CAS 5 Good GCSEs with En &amp; Ma",Result,"Y",Pupil_Premium,"T")</f>
        <v>15</v>
      </c>
      <c r="U14" s="147">
        <f>IFERROR(T14/D14,"")</f>
        <v>0.65217391304347827</v>
      </c>
      <c r="V14" s="157">
        <v>0.36</v>
      </c>
      <c r="Z14" s="6"/>
      <c r="AA14" s="6"/>
      <c r="AB14" s="6"/>
      <c r="AC14" s="1"/>
    </row>
    <row r="15" spans="2:40" ht="18" x14ac:dyDescent="0.25">
      <c r="C15" s="61" t="s">
        <v>350</v>
      </c>
      <c r="D15" s="36">
        <f>COUNTIFS(Result_set,INDEX(New_Result_set,$B$4),measure,"CAS Attainment 8",Pupil_Premium,"&lt;&gt;T")</f>
        <v>153</v>
      </c>
      <c r="E15" s="45">
        <f>IFERROR(D15/$D$2,"")</f>
        <v>0.86931818181818177</v>
      </c>
      <c r="F15" s="32">
        <f>COUNTIFS(Result_set,INDEX(New_Result_set,$B$4),measure,"CAS Attainment 8",KS2_APS,"&lt;&gt;",Pupil_Premium,"&lt;&gt;T")</f>
        <v>153</v>
      </c>
      <c r="G15" s="31">
        <f>IFERROR(SUMIFS(KS2_APS,Pupil_Premium,"&lt;&gt;T",KS2_APS,"&lt;&gt;",measure,"CAS Attainment 8",Result_set,INDEX(New_Result_set,$B$4))/F15,"")</f>
        <v>25.324313725490128</v>
      </c>
      <c r="H15" s="156">
        <f>COUNTIFS(Result_set,INDEX(New_Result_set,$B$4),measure,"CAS Passed English?",Result,"Y",Pupil_Premium,"&lt;&gt;T")</f>
        <v>83</v>
      </c>
      <c r="I15" s="155">
        <f>IFERROR(H15/D15,"")</f>
        <v>0.54248366013071891</v>
      </c>
      <c r="J15" s="154">
        <v>0.74</v>
      </c>
      <c r="K15" s="153">
        <f>COUNTIFS(Result_set,INDEX(New_Result_set,$B$4),measure,"CAS Passed Maths?",Result,"Y",Pupil_Premium,"&lt;&gt;T")</f>
        <v>80</v>
      </c>
      <c r="L15" s="152">
        <f>IFERROR(K15/D15,"")</f>
        <v>0.52287581699346408</v>
      </c>
      <c r="M15" s="151">
        <v>0.74</v>
      </c>
      <c r="N15" s="34">
        <f>COUNTIFS(Result_set,INDEX(New_Result_set,$B$4),measure,"CAS Passed En and ma?",Result,"Y",Pupil_Premium,"&lt;&gt;T")</f>
        <v>70</v>
      </c>
      <c r="O15" s="147">
        <f>IFERROR(N15/D15,"")</f>
        <v>0.45751633986928103</v>
      </c>
      <c r="P15" s="146">
        <v>0.65</v>
      </c>
      <c r="Q15" s="150">
        <f>COUNTIFS(Result_set,INDEX(New_Result_set,$B$4),measure,"CAS English Bac",Result,"Y",Pupil_Premium,"&lt;&gt;T")</f>
        <v>50</v>
      </c>
      <c r="R15" s="149">
        <f>IFERROR(Q15/D15,"")</f>
        <v>0.32679738562091504</v>
      </c>
      <c r="S15" s="148">
        <v>0.27600000000000002</v>
      </c>
      <c r="T15" s="34">
        <f>COUNTIFS(Result_set,INDEX(New_Result_set,$B$4),measure,"CAS 5 Good GCSEs with En &amp; Ma",Result,"Y",Pupil_Premium,"&lt;&gt;T")</f>
        <v>70</v>
      </c>
      <c r="U15" s="147">
        <f>IFERROR(T15/D15,"")</f>
        <v>0.45751633986928103</v>
      </c>
      <c r="V15" s="157">
        <v>0.63</v>
      </c>
      <c r="Z15" s="6"/>
      <c r="AA15" s="6"/>
      <c r="AB15" s="6"/>
      <c r="AC15" s="1"/>
    </row>
    <row r="16" spans="2:40" ht="18" x14ac:dyDescent="0.25">
      <c r="C16" s="66" t="s">
        <v>349</v>
      </c>
      <c r="D16" s="160" t="s">
        <v>336</v>
      </c>
      <c r="E16" s="163">
        <f>IFERROR(ABS(E14-E15),"")</f>
        <v>0.73863636363636354</v>
      </c>
      <c r="F16" s="160" t="s">
        <v>336</v>
      </c>
      <c r="G16" s="162">
        <f>IFERROR(ABS(G14-G15),"")</f>
        <v>4.0443819266837764</v>
      </c>
      <c r="H16" s="160" t="s">
        <v>336</v>
      </c>
      <c r="I16" s="159">
        <f>IFERROR(ABS(I14-I15),"")</f>
        <v>0.19664677465188973</v>
      </c>
      <c r="J16" s="158">
        <f>IFERROR(ABS(J14-J15),"")</f>
        <v>0.22999999999999998</v>
      </c>
      <c r="K16" s="160" t="s">
        <v>336</v>
      </c>
      <c r="L16" s="159">
        <f>IFERROR(ABS(L14-L15),"")</f>
        <v>0.25973287865870986</v>
      </c>
      <c r="M16" s="158">
        <f>IFERROR(ABS(M14-M15),"")</f>
        <v>0.25</v>
      </c>
      <c r="N16" s="160" t="s">
        <v>336</v>
      </c>
      <c r="O16" s="159">
        <f>IFERROR(ABS(O14-O15),"")</f>
        <v>0.19465757317419724</v>
      </c>
      <c r="P16" s="158">
        <f>IFERROR(ABS(P14-P15),"")</f>
        <v>0.27</v>
      </c>
      <c r="Q16" s="161" t="s">
        <v>336</v>
      </c>
      <c r="R16" s="159">
        <f>IFERROR(ABS(R14-R15),"")</f>
        <v>2.1028701335606692E-2</v>
      </c>
      <c r="S16" s="158">
        <f>IFERROR(ABS(S14-S15),"")</f>
        <v>0.16600000000000004</v>
      </c>
      <c r="T16" s="160" t="s">
        <v>336</v>
      </c>
      <c r="U16" s="159">
        <f>IFERROR(ABS(U14-U15),"")</f>
        <v>0.19465757317419724</v>
      </c>
      <c r="V16" s="158">
        <f>IFERROR(ABS(V14-V15),"")</f>
        <v>0.27</v>
      </c>
      <c r="Z16" s="6"/>
      <c r="AA16" s="6"/>
      <c r="AB16" s="6"/>
      <c r="AC16" s="1"/>
    </row>
    <row r="17" spans="3:29" ht="18" x14ac:dyDescent="0.25">
      <c r="C17" s="61" t="s">
        <v>348</v>
      </c>
      <c r="D17" s="36">
        <f>COUNTIFS(Result_set,INDEX(New_Result_set,$B$4),measure,"CAS Attainment 8",InCare,"T")</f>
        <v>1</v>
      </c>
      <c r="E17" s="45">
        <f>IFERROR(D17/$D$2,"")</f>
        <v>5.681818181818182E-3</v>
      </c>
      <c r="F17" s="32">
        <f>COUNTIFS(Result_set,INDEX(New_Result_set,$B$4),measure,"CAS Attainment 8",KS2_APS,"&lt;&gt;",InCare,"T")</f>
        <v>1</v>
      </c>
      <c r="G17" s="31">
        <f>IFERROR(SUMIFS(KS2_APS,InCare,"T",KS2_APS,"&lt;&gt;",measure,"CAS Attainment 8",Result_set,INDEX(New_Result_set,$B$4))/F17,"")</f>
        <v>21.12</v>
      </c>
      <c r="H17" s="156">
        <f>COUNTIFS(Result_set,INDEX(New_Result_set,$B$4),measure,"CAS Passed English?",Result,"Y",InCare,"T")</f>
        <v>1</v>
      </c>
      <c r="I17" s="155">
        <f>IFERROR(H17/D17,"")</f>
        <v>1</v>
      </c>
      <c r="J17" s="154">
        <v>0.28999999999999998</v>
      </c>
      <c r="K17" s="153">
        <f>COUNTIFS(Result_set,INDEX(New_Result_set,$B$4),measure,"CAS Passed Maths?",Result,"Y",InCare,"T")</f>
        <v>0</v>
      </c>
      <c r="L17" s="152">
        <f>IFERROR(K17/D17,"")</f>
        <v>0</v>
      </c>
      <c r="M17" s="151">
        <v>0.27</v>
      </c>
      <c r="N17" s="34">
        <f>COUNTIFS(Result_set,INDEX(New_Result_set,$B$4),measure,"CAS Passed En and ma?",Result,"Y",InCare,"T")</f>
        <v>0</v>
      </c>
      <c r="O17" s="147">
        <f>IFERROR(N17/D17,"")</f>
        <v>0</v>
      </c>
      <c r="P17" s="146">
        <v>0.19</v>
      </c>
      <c r="Q17" s="150">
        <f>COUNTIFS(Result_set,INDEX(New_Result_set,$B$4),measure,"CAS English Bac",Result,"Y",InCare,"T")</f>
        <v>0</v>
      </c>
      <c r="R17" s="149">
        <f>IFERROR(Q17/D17,"")</f>
        <v>0</v>
      </c>
      <c r="S17" s="148">
        <v>0.03</v>
      </c>
      <c r="T17" s="34">
        <f>COUNTIFS(Result_set,INDEX(New_Result_set,$B$4),measure,"CAS 5 Good GCSEs with En &amp; Ma",Result,"Y",InCare,"T")</f>
        <v>0</v>
      </c>
      <c r="U17" s="147">
        <f>IFERROR(T17/D17,"")</f>
        <v>0</v>
      </c>
      <c r="V17" s="157">
        <v>0.16</v>
      </c>
      <c r="Z17" s="6"/>
      <c r="AA17" s="6"/>
      <c r="AB17" s="6"/>
      <c r="AC17" s="1"/>
    </row>
    <row r="18" spans="3:29" ht="18" x14ac:dyDescent="0.25">
      <c r="C18" s="61" t="s">
        <v>347</v>
      </c>
      <c r="D18" s="36">
        <f>COUNTIFS(Result_set,INDEX(New_Result_set,$B$4),measure,"CAS Attainment 8",FSM_6,"T")</f>
        <v>23</v>
      </c>
      <c r="E18" s="45">
        <f>IFERROR(D18/$D$2,"")</f>
        <v>0.13068181818181818</v>
      </c>
      <c r="F18" s="32">
        <f>COUNTIFS(Result_set,INDEX(New_Result_set,$B$4),measure,"CAS Attainment 8",KS2_APS,"&lt;&gt;",FSM_6,"T")</f>
        <v>23</v>
      </c>
      <c r="G18" s="31">
        <f>IFERROR(SUMIFS(KS2_APS,FSM_6,"T",KS2_APS,"&lt;&gt;",measure,"CAS Attainment 8",Result_set,INDEX(New_Result_set,$B$4))/F18,"")</f>
        <v>29.368695652173905</v>
      </c>
      <c r="H18" s="156">
        <f>COUNTIFS(Result_set,INDEX(New_Result_set,$B$4),measure,"CAS Passed English?",Result,"Y",FSM_6,"T")</f>
        <v>17</v>
      </c>
      <c r="I18" s="155">
        <f>IFERROR(H18/D18,"")</f>
        <v>0.73913043478260865</v>
      </c>
      <c r="J18" s="154">
        <v>0.51</v>
      </c>
      <c r="K18" s="153">
        <f>COUNTIFS(Result_set,INDEX(New_Result_set,$B$4),measure,"CAS Passed Maths?",Result,"Y",FSM_6,"T")</f>
        <v>18</v>
      </c>
      <c r="L18" s="152">
        <f>IFERROR(K18/D18,"")</f>
        <v>0.78260869565217395</v>
      </c>
      <c r="M18" s="151">
        <v>0.49</v>
      </c>
      <c r="N18" s="34">
        <f>COUNTIFS(Result_set,INDEX(New_Result_set,$B$4),measure,"CAS Passed En and ma?",Result,"Y",FSM_6,"T")</f>
        <v>15</v>
      </c>
      <c r="O18" s="147">
        <f>IFERROR(N18/D18,"")</f>
        <v>0.65217391304347827</v>
      </c>
      <c r="P18" s="146">
        <v>0.39</v>
      </c>
      <c r="Q18" s="150">
        <f>COUNTIFS(Result_set,INDEX(New_Result_set,$B$4),measure,"CAS English Bac",Result,"Y",FSM_6,"T")</f>
        <v>8</v>
      </c>
      <c r="R18" s="149">
        <f>IFERROR(Q18/D18,"")</f>
        <v>0.34782608695652173</v>
      </c>
      <c r="S18" s="148">
        <v>0.11</v>
      </c>
      <c r="T18" s="34">
        <f>COUNTIFS(Result_set,INDEX(New_Result_set,$B$4),measure,"CAS 5 Good GCSEs with En &amp; Ma",Result,"Y",FSM_6,"T")</f>
        <v>15</v>
      </c>
      <c r="U18" s="147">
        <f>IFERROR(T18/D18,"")</f>
        <v>0.65217391304347827</v>
      </c>
      <c r="V18" s="157">
        <v>0.36</v>
      </c>
      <c r="Z18" s="6"/>
      <c r="AA18" s="6"/>
      <c r="AB18" s="6"/>
      <c r="AC18" s="1"/>
    </row>
    <row r="19" spans="3:29" ht="18" x14ac:dyDescent="0.25">
      <c r="C19" s="61" t="s">
        <v>346</v>
      </c>
      <c r="D19" s="36">
        <f>COUNTIFS(Result_set,INDEX(New_Result_set,$B$4),measure,"CAS Attainment 8",Prior_attainment,"L")</f>
        <v>64</v>
      </c>
      <c r="E19" s="45">
        <f>IFERROR(D19/$D$2,"")</f>
        <v>0.36363636363636365</v>
      </c>
      <c r="F19" s="32">
        <f>COUNTIFS(Result_set,INDEX(New_Result_set,$B$4),measure,"CAS Attainment 8",KS2_APS,"&lt;&gt;",Prior_attainment,"L")</f>
        <v>64</v>
      </c>
      <c r="G19" s="31">
        <f>IFERROR(SUMIFS(KS2_APS,Prior_attainment,"L",KS2_APS,"&lt;&gt;",measure,"CAS Attainment 8",Result_set,INDEX(New_Result_set,$B$4))/F19,"")</f>
        <v>19.132499999999979</v>
      </c>
      <c r="H19" s="156">
        <f>COUNTIFS(Result_set,INDEX(New_Result_set,$B$4),measure,"CAS Passed English?",Result,"Y",Prior_attainment,"L")</f>
        <v>9</v>
      </c>
      <c r="I19" s="155">
        <f>IFERROR(H19/D19,"")</f>
        <v>0.140625</v>
      </c>
      <c r="J19" s="154">
        <v>0.19</v>
      </c>
      <c r="K19" s="153">
        <f>COUNTIFS(Result_set,INDEX(New_Result_set,$B$4),measure,"CAS Passed Maths?",Result,"Y",Prior_attainment,"L")</f>
        <v>0</v>
      </c>
      <c r="L19" s="152">
        <f>IFERROR(K19/D19,"")</f>
        <v>0</v>
      </c>
      <c r="M19" s="151">
        <v>0.15</v>
      </c>
      <c r="N19" s="34">
        <f>COUNTIFS(Result_set,INDEX(New_Result_set,$B$4),measure,"CAS Passed En and ma?",Result,"Y",Prior_attainment,"L")</f>
        <v>0</v>
      </c>
      <c r="O19" s="147">
        <f>IFERROR(N19/D19,"")</f>
        <v>0</v>
      </c>
      <c r="P19" s="146">
        <v>7.0000000000000007E-2</v>
      </c>
      <c r="Q19" s="150">
        <f>COUNTIFS(Result_set,INDEX(New_Result_set,$B$4),measure,"CAS English Bac",Result,"Y",Prior_attainment,"L")</f>
        <v>0</v>
      </c>
      <c r="R19" s="149">
        <f>IFERROR(Q19/D19,"")</f>
        <v>0</v>
      </c>
      <c r="S19" s="148">
        <v>0.01</v>
      </c>
      <c r="T19" s="34">
        <f>COUNTIFS(Result_set,INDEX(New_Result_set,$B$4),measure,"CAS 5 Good GCSEs with En &amp; Ma",Result,"Y",Prior_attainment,"L")</f>
        <v>0</v>
      </c>
      <c r="U19" s="147">
        <f>IFERROR(T19/D19,"")</f>
        <v>0</v>
      </c>
      <c r="V19" s="157">
        <v>0.06</v>
      </c>
      <c r="Z19" s="6"/>
      <c r="AA19" s="6"/>
      <c r="AB19" s="6"/>
      <c r="AC19" s="1"/>
    </row>
    <row r="20" spans="3:29" ht="18" x14ac:dyDescent="0.25">
      <c r="C20" s="61" t="s">
        <v>345</v>
      </c>
      <c r="D20" s="36">
        <f>COUNTIFS(Result_set,INDEX(New_Result_set,$B$4),measure,"CAS Attainment 8",Prior_attainment,"M")</f>
        <v>59</v>
      </c>
      <c r="E20" s="45">
        <f>IFERROR(D20/$D$2,"")</f>
        <v>0.33522727272727271</v>
      </c>
      <c r="F20" s="32">
        <f>COUNTIFS(Result_set,INDEX(New_Result_set,$B$4),measure,"CAS Attainment 8",KS2_APS,"&lt;&gt;",Prior_attainment,"M")</f>
        <v>59</v>
      </c>
      <c r="G20" s="31">
        <f>IFERROR(SUMIFS(KS2_APS,Prior_attainment,"M",KS2_APS,"&lt;&gt;",measure,"CAS Attainment 8",Result_set,INDEX(New_Result_set,$B$4))/F20,"")</f>
        <v>26.764067796610135</v>
      </c>
      <c r="H20" s="156">
        <f>COUNTIFS(Result_set,INDEX(New_Result_set,$B$4),measure,"CAS Passed English?",Result,"Y",Prior_attainment,"M")</f>
        <v>45</v>
      </c>
      <c r="I20" s="155">
        <f>IFERROR(H20/D20,"")</f>
        <v>0.76271186440677963</v>
      </c>
      <c r="J20" s="154">
        <v>0.68</v>
      </c>
      <c r="K20" s="153">
        <f>COUNTIFS(Result_set,INDEX(New_Result_set,$B$4),measure,"CAS Passed Maths?",Result,"Y",Prior_attainment,"M")</f>
        <v>47</v>
      </c>
      <c r="L20" s="152">
        <f>IFERROR(K20/D20,"")</f>
        <v>0.79661016949152541</v>
      </c>
      <c r="M20" s="151">
        <v>0.67</v>
      </c>
      <c r="N20" s="34">
        <f>COUNTIFS(Result_set,INDEX(New_Result_set,$B$4),measure,"CAS Passed En and ma?",Result,"Y",Prior_attainment,"M")</f>
        <v>40</v>
      </c>
      <c r="O20" s="147">
        <f>IFERROR(N20/D20,"")</f>
        <v>0.67796610169491522</v>
      </c>
      <c r="P20" s="146">
        <v>0.54</v>
      </c>
      <c r="Q20" s="150">
        <f>COUNTIFS(Result_set,INDEX(New_Result_set,$B$4),measure,"CAS English Bac",Result,"Y",Prior_attainment,"M")</f>
        <v>28</v>
      </c>
      <c r="R20" s="149">
        <f>IFERROR(Q20/D20,"")</f>
        <v>0.47457627118644069</v>
      </c>
      <c r="S20" s="148">
        <v>0.13</v>
      </c>
      <c r="T20" s="34">
        <f>COUNTIFS(Result_set,INDEX(New_Result_set,$B$4),measure,"CAS 5 Good GCSEs with En &amp; Ma",Result,"Y",Prior_attainment,"M")</f>
        <v>40</v>
      </c>
      <c r="U20" s="147">
        <f>IFERROR(T20/D20,"")</f>
        <v>0.67796610169491522</v>
      </c>
      <c r="V20" s="157">
        <v>0.5</v>
      </c>
      <c r="Z20" s="6"/>
      <c r="AA20" s="6"/>
      <c r="AB20" s="6"/>
      <c r="AC20" s="1"/>
    </row>
    <row r="21" spans="3:29" ht="18" x14ac:dyDescent="0.25">
      <c r="C21" s="61" t="s">
        <v>344</v>
      </c>
      <c r="D21" s="36">
        <f>COUNTIFS(Result_set,INDEX(New_Result_set,$B$4),measure,"CAS Attainment 8",Prior_attainment,"H")</f>
        <v>53</v>
      </c>
      <c r="E21" s="45">
        <f>IFERROR(D21/$D$2,"")</f>
        <v>0.30113636363636365</v>
      </c>
      <c r="F21" s="32">
        <f>COUNTIFS(Result_set,INDEX(New_Result_set,$B$4),measure,"CAS Attainment 8",KS2_APS,"&lt;&gt;",Prior_attainment,"H")</f>
        <v>53</v>
      </c>
      <c r="G21" s="31">
        <f>IFERROR(SUMIFS(KS2_APS,Prior_attainment,"H",KS2_APS,"&lt;&gt;",measure,"CAS Attainment 8",Result_set,INDEX(New_Result_set,$B$4))/F21,"")</f>
        <v>32.953584905660392</v>
      </c>
      <c r="H21" s="156">
        <f>COUNTIFS(Result_set,INDEX(New_Result_set,$B$4),measure,"CAS Passed English?",Result,"Y",Prior_attainment,"H")</f>
        <v>46</v>
      </c>
      <c r="I21" s="155">
        <f>IFERROR(H21/D21,"")</f>
        <v>0.86792452830188682</v>
      </c>
      <c r="J21" s="154">
        <v>0.94</v>
      </c>
      <c r="K21" s="153">
        <f>COUNTIFS(Result_set,INDEX(New_Result_set,$B$4),measure,"CAS Passed Maths?",Result,"Y",Prior_attainment,"H")</f>
        <v>51</v>
      </c>
      <c r="L21" s="152">
        <f>IFERROR(K21/D21,"")</f>
        <v>0.96226415094339623</v>
      </c>
      <c r="M21" s="151">
        <v>0.96</v>
      </c>
      <c r="N21" s="34">
        <f>COUNTIFS(Result_set,INDEX(New_Result_set,$B$4),measure,"CAS Passed En and ma?",Result,"Y",Prior_attainment,"H")</f>
        <v>45</v>
      </c>
      <c r="O21" s="147">
        <f>IFERROR(N21/D21,"")</f>
        <v>0.84905660377358494</v>
      </c>
      <c r="P21" s="146">
        <v>0.91</v>
      </c>
      <c r="Q21" s="150">
        <f>COUNTIFS(Result_set,INDEX(New_Result_set,$B$4),measure,"CAS English Bac",Result,"Y",Prior_attainment,"H")</f>
        <v>30</v>
      </c>
      <c r="R21" s="149">
        <f>IFERROR(Q21/D21,"")</f>
        <v>0.56603773584905659</v>
      </c>
      <c r="S21" s="148">
        <v>0.52</v>
      </c>
      <c r="T21" s="34">
        <f>COUNTIFS(Result_set,INDEX(New_Result_set,$B$4),measure,"CAS 5 Good GCSEs with En &amp; Ma",Result,"Y",Prior_attainment,"H")</f>
        <v>45</v>
      </c>
      <c r="U21" s="147">
        <f>IFERROR(T21/D21,"")</f>
        <v>0.84905660377358494</v>
      </c>
      <c r="V21" s="157">
        <v>0.9</v>
      </c>
      <c r="Z21" s="6"/>
      <c r="AA21" s="6"/>
      <c r="AB21" s="6"/>
      <c r="AC21" s="1"/>
    </row>
    <row r="22" spans="3:29" ht="18" x14ac:dyDescent="0.25">
      <c r="C22" s="61" t="s">
        <v>5</v>
      </c>
      <c r="D22" s="36">
        <f>COUNTIFS(Result_set,INDEX(New_Result_set,$B$4),measure,"CAS Attainment 8",EAL,"yes")</f>
        <v>27</v>
      </c>
      <c r="E22" s="45">
        <f>IFERROR(D22/$D$2,"")</f>
        <v>0.15340909090909091</v>
      </c>
      <c r="F22" s="32">
        <f>COUNTIFS(Result_set,INDEX(New_Result_set,$B$4),measure,"CAS Attainment 8",KS2_APS,"&lt;&gt;",EAL,"yes")</f>
        <v>27</v>
      </c>
      <c r="G22" s="31">
        <f>IFERROR(SUMIFS(KS2_APS,EAL,"yes",KS2_APS,"&lt;&gt;",measure,"CAS Attainment 8",Result_set,INDEX(New_Result_set,$B$4))/F22,"")</f>
        <v>27.473333333333329</v>
      </c>
      <c r="H22" s="156">
        <f>COUNTIFS(Result_set,INDEX(New_Result_set,$B$4),measure,"CAS Passed English?",Result,"Y",EAL,"yes")</f>
        <v>15</v>
      </c>
      <c r="I22" s="155">
        <f>IFERROR(H22/D22,"")</f>
        <v>0.55555555555555558</v>
      </c>
      <c r="J22" s="154">
        <v>0.69</v>
      </c>
      <c r="K22" s="153">
        <f>COUNTIFS(Result_set,INDEX(New_Result_set,$B$4),measure,"CAS Passed Maths?",Result,"Y",EAL,"yes")</f>
        <v>18</v>
      </c>
      <c r="L22" s="152">
        <f>IFERROR(K22/D22,"")</f>
        <v>0.66666666666666663</v>
      </c>
      <c r="M22" s="151">
        <v>0.68</v>
      </c>
      <c r="N22" s="34">
        <f>COUNTIFS(Result_set,INDEX(New_Result_set,$B$4),measure,"CAS Passed En and ma?",Result,"Y",EAL,"yes")</f>
        <v>12</v>
      </c>
      <c r="O22" s="147">
        <f>IFERROR(N22/D22,"")</f>
        <v>0.44444444444444442</v>
      </c>
      <c r="P22" s="146">
        <v>0.69</v>
      </c>
      <c r="Q22" s="150">
        <f>COUNTIFS(Result_set,INDEX(New_Result_set,$B$4),measure,"CAS English Bac",Result,"Y",EAL,"yes")</f>
        <v>8</v>
      </c>
      <c r="R22" s="149">
        <f>IFERROR(Q22/D22,"")</f>
        <v>0.29629629629629628</v>
      </c>
      <c r="S22" s="148">
        <v>0.26</v>
      </c>
      <c r="T22" s="34">
        <f>COUNTIFS(Result_set,INDEX(New_Result_set,$B$4),measure,"CAS 5 Good GCSEs with En &amp; Ma",Result,"Y",EAL,"yes")</f>
        <v>12</v>
      </c>
      <c r="U22" s="147">
        <f>IFERROR(T22/D22,"")</f>
        <v>0.44444444444444442</v>
      </c>
      <c r="V22" s="157">
        <v>0.54</v>
      </c>
      <c r="Z22" s="6"/>
      <c r="AA22" s="6"/>
      <c r="AB22" s="6"/>
      <c r="AC22" s="1"/>
    </row>
    <row r="23" spans="3:29" ht="18" x14ac:dyDescent="0.25">
      <c r="C23" s="55" t="s">
        <v>343</v>
      </c>
      <c r="D23" s="164" t="s">
        <v>336</v>
      </c>
      <c r="E23" s="163">
        <f>IFERROR(ABS(E10-E22),"")</f>
        <v>0.84659090909090906</v>
      </c>
      <c r="F23" s="160" t="s">
        <v>336</v>
      </c>
      <c r="G23" s="162">
        <f>IFERROR(ABS(G10-G22),"")</f>
        <v>1.620492424242471</v>
      </c>
      <c r="H23" s="160" t="s">
        <v>336</v>
      </c>
      <c r="I23" s="159">
        <f>IFERROR(ABS(I10-I22),"")</f>
        <v>1.2626262626262652E-2</v>
      </c>
      <c r="J23" s="158"/>
      <c r="K23" s="160" t="s">
        <v>336</v>
      </c>
      <c r="L23" s="159">
        <f>IFERROR(ABS(L10-L22),"")</f>
        <v>0.10984848484848486</v>
      </c>
      <c r="M23" s="165"/>
      <c r="N23" s="160" t="s">
        <v>336</v>
      </c>
      <c r="O23" s="159">
        <f>IFERROR(ABS(O10-O22),"")</f>
        <v>3.851010101010105E-2</v>
      </c>
      <c r="P23" s="165"/>
      <c r="Q23" s="161" t="s">
        <v>336</v>
      </c>
      <c r="R23" s="159">
        <f>IFERROR(ABS(R10-R22),"")</f>
        <v>3.324915824915825E-2</v>
      </c>
      <c r="S23" s="166"/>
      <c r="T23" s="160" t="s">
        <v>336</v>
      </c>
      <c r="U23" s="159">
        <f>IFERROR(ABS(U10-U22),"")</f>
        <v>3.851010101010105E-2</v>
      </c>
      <c r="V23" s="165"/>
      <c r="Z23" s="6"/>
      <c r="AA23" s="6"/>
      <c r="AB23" s="6"/>
      <c r="AC23" s="1"/>
    </row>
    <row r="24" spans="3:29" ht="18" x14ac:dyDescent="0.25">
      <c r="C24" s="48" t="s">
        <v>342</v>
      </c>
      <c r="D24" s="47">
        <f>COUNTIFS(Result_set,INDEX(New_Result_set,$B$4),measure,"CAS Attainment 8",SEN,"E")</f>
        <v>0</v>
      </c>
      <c r="E24" s="45">
        <f>IFERROR(D24/$D$2,"")</f>
        <v>0</v>
      </c>
      <c r="F24" s="32">
        <f>COUNTIFS(Result_set,INDEX(New_Result_set,$B$4),measure,"CAS Attainment 8",KS2_APS,"&lt;&gt;",SEN,"E")</f>
        <v>0</v>
      </c>
      <c r="G24" s="31" t="str">
        <f>IFERROR(SUMIFS(KS2_APS,SEN,"S",KS2_APS,"&lt;&gt;",measure,"CAS Attainment 8",Result_set,INDEX(New_Result_set,$B$4))/F24,"")</f>
        <v/>
      </c>
      <c r="H24" s="156">
        <f>COUNTIFS(Result_set,INDEX(New_Result_set,$B$4),measure,"CAS Passed English?",Result,"Y",SEN,"E")</f>
        <v>0</v>
      </c>
      <c r="I24" s="155" t="str">
        <f>IFERROR(H24/D24,"")</f>
        <v/>
      </c>
      <c r="J24" s="154">
        <v>0.13</v>
      </c>
      <c r="K24" s="153">
        <f>COUNTIFS(Result_set,INDEX(New_Result_set,$B$4),measure,"CAS Passed Maths?",Result,"Y",SEN,"E")</f>
        <v>0</v>
      </c>
      <c r="L24" s="152" t="str">
        <f>IFERROR(K24/D24,"")</f>
        <v/>
      </c>
      <c r="M24" s="151">
        <v>0.16</v>
      </c>
      <c r="N24" s="34">
        <f>COUNTIFS(Result_set,INDEX(New_Result_set,$B$4),measure,"CAS Passed En and ma?",Result,"Y",SEN,"E")</f>
        <v>0</v>
      </c>
      <c r="O24" s="147" t="str">
        <f>IFERROR(N24/D24,"")</f>
        <v/>
      </c>
      <c r="P24" s="146">
        <v>0.1</v>
      </c>
      <c r="Q24" s="150">
        <f>COUNTIFS(Result_set,INDEX(New_Result_set,$B$4),measure,"CAS English Bac",Result,"Y",SEN,"E")</f>
        <v>0</v>
      </c>
      <c r="R24" s="149" t="str">
        <f>IFERROR(Q24/D24,"")</f>
        <v/>
      </c>
      <c r="S24" s="148">
        <v>0.02</v>
      </c>
      <c r="T24" s="34">
        <f>COUNTIFS(Result_set,INDEX(New_Result_set,$B$4),measure,"CAS 5 Good GCSEs with En &amp; Ma",Result,"Y",SEN,"E")</f>
        <v>0</v>
      </c>
      <c r="U24" s="147" t="str">
        <f>IFERROR(T24/D24,"")</f>
        <v/>
      </c>
      <c r="V24" s="157">
        <v>0.09</v>
      </c>
      <c r="Z24" s="6"/>
      <c r="AA24" s="6"/>
      <c r="AB24" s="6"/>
      <c r="AC24" s="1"/>
    </row>
    <row r="25" spans="3:29" ht="18" x14ac:dyDescent="0.25">
      <c r="C25" s="48" t="s">
        <v>341</v>
      </c>
      <c r="D25" s="47">
        <f>COUNTIFS(Result_set,INDEX(New_Result_set,$B$4),measure,"CAS Attainment 8",SEN,"S")</f>
        <v>0</v>
      </c>
      <c r="E25" s="45">
        <f>IFERROR(D25/$D$2,"")</f>
        <v>0</v>
      </c>
      <c r="F25" s="32">
        <f>COUNTIFS(Result_set,INDEX(New_Result_set,$B$4),measure,"CAS Attainment 8",KS2_APS,"&lt;&gt;",SEN,"S")</f>
        <v>0</v>
      </c>
      <c r="G25" s="31" t="str">
        <f>IFERROR(SUMIFS(KS2_APS,SEN,"S",KS2_APS,"&lt;&gt;",measure,"CAS Attainment 8",Result_set,INDEX(New_Result_set,$B$4))/F25,"")</f>
        <v/>
      </c>
      <c r="H25" s="156">
        <f>COUNTIFS(Result_set,INDEX(New_Result_set,$B$4),measure,"CAS Passed English?",Result,"Y",SEN,"S")</f>
        <v>0</v>
      </c>
      <c r="I25" s="155" t="str">
        <f>IFERROR(H25/D25,"")</f>
        <v/>
      </c>
      <c r="J25" s="154">
        <v>0.13</v>
      </c>
      <c r="K25" s="153">
        <f>COUNTIFS(Result_set,INDEX(New_Result_set,$B$4),measure,"CAS Passed Maths?",Result,"Y",SEN,"S")</f>
        <v>0</v>
      </c>
      <c r="L25" s="152" t="str">
        <f>IFERROR(K25/D25,"")</f>
        <v/>
      </c>
      <c r="M25" s="151">
        <v>0.16</v>
      </c>
      <c r="N25" s="34">
        <f>COUNTIFS(Result_set,INDEX(New_Result_set,$B$4),measure,"CAS Passed En and ma?",Result,"Y",SEN,"S")</f>
        <v>0</v>
      </c>
      <c r="O25" s="147" t="str">
        <f>IFERROR(N25/D25,"")</f>
        <v/>
      </c>
      <c r="P25" s="146">
        <v>0.1</v>
      </c>
      <c r="Q25" s="150">
        <f>COUNTIFS(Result_set,INDEX(New_Result_set,$B$4),measure,"CAS English Bac",Result,"Y",SEN,"S")</f>
        <v>0</v>
      </c>
      <c r="R25" s="149" t="str">
        <f>IFERROR(Q25/D25,"")</f>
        <v/>
      </c>
      <c r="S25" s="148">
        <v>0.02</v>
      </c>
      <c r="T25" s="34">
        <f>COUNTIFS(Result_set,INDEX(New_Result_set,$B$4),measure,"CAS 5 Good GCSEs with En &amp; Ma",Result,"Y",SEN,"S")</f>
        <v>0</v>
      </c>
      <c r="U25" s="147" t="str">
        <f>IFERROR(T25/D25,"")</f>
        <v/>
      </c>
      <c r="V25" s="157">
        <v>0.09</v>
      </c>
      <c r="Z25" s="6"/>
      <c r="AA25" s="6"/>
      <c r="AB25" s="6"/>
      <c r="AC25" s="1"/>
    </row>
    <row r="26" spans="3:29" ht="18" x14ac:dyDescent="0.25">
      <c r="C26" s="48" t="s">
        <v>340</v>
      </c>
      <c r="D26" s="47">
        <f>COUNTIFS(Result_set,INDEX(New_Result_set,$B$4),measure,"CAS Attainment 8",SEN,"K")</f>
        <v>8</v>
      </c>
      <c r="E26" s="45">
        <f>IFERROR(D26/$D$2,"")</f>
        <v>4.5454545454545456E-2</v>
      </c>
      <c r="F26" s="32">
        <f>COUNTIFS(Result_set,INDEX(New_Result_set,$B$4),measure,"CAS Attainment 8",KS2_APS,"&lt;&gt;",SEN,"K")</f>
        <v>8</v>
      </c>
      <c r="G26" s="31">
        <f>IFERROR(SUMIFS(KS2_APS,SEN,"K",KS2_APS,"&lt;&gt;",measure,"CAS Attainment 8",Result_set,INDEX(New_Result_set,$B$4))/F26,"")</f>
        <v>17.324999999999999</v>
      </c>
      <c r="H26" s="156">
        <f>COUNTIFS(Result_set,INDEX(New_Result_set,$B$4),measure,"CAS Passed English?",Result,"Y",SEN,"K")</f>
        <v>0</v>
      </c>
      <c r="I26" s="155">
        <f>IFERROR(H26/D26,"")</f>
        <v>0</v>
      </c>
      <c r="J26" s="154"/>
      <c r="K26" s="153">
        <f>COUNTIFS(Result_set,INDEX(New_Result_set,$B$4),measure,"CAS Passed Maths?",Result,"Y",SEN,"K")</f>
        <v>1</v>
      </c>
      <c r="L26" s="152">
        <f>IFERROR(K26/D26,"")</f>
        <v>0.125</v>
      </c>
      <c r="M26" s="151"/>
      <c r="N26" s="34">
        <f>COUNTIFS(Result_set,INDEX(New_Result_set,$B$4),measure,"CAS Passed En and ma?",Result,"Y",SEN,"K")</f>
        <v>0</v>
      </c>
      <c r="O26" s="147">
        <f>IFERROR(N26/D26,"")</f>
        <v>0</v>
      </c>
      <c r="P26" s="146"/>
      <c r="Q26" s="150">
        <f>COUNTIFS(Result_set,INDEX(New_Result_set,$B$4),measure,"CAS English Bac",Result,"Y",SEN,"K")</f>
        <v>0</v>
      </c>
      <c r="R26" s="149">
        <f>IFERROR(Q26/D26,"")</f>
        <v>0</v>
      </c>
      <c r="S26" s="148"/>
      <c r="T26" s="34">
        <f>COUNTIFS(Result_set,INDEX(New_Result_set,$B$4),measure,"CAS 5 Good GCSEs with En &amp; Ma",Result,"Y",SEN,"K")</f>
        <v>0</v>
      </c>
      <c r="U26" s="147">
        <f>IFERROR(T26/D26,"")</f>
        <v>0</v>
      </c>
      <c r="V26" s="157"/>
      <c r="Z26" s="6"/>
      <c r="AA26" s="6"/>
      <c r="AB26" s="6"/>
      <c r="AC26" s="1"/>
    </row>
    <row r="27" spans="3:29" ht="18" x14ac:dyDescent="0.25">
      <c r="C27" s="48" t="s">
        <v>339</v>
      </c>
      <c r="D27" s="47">
        <f>SUM(D24:D26)</f>
        <v>8</v>
      </c>
      <c r="E27" s="45">
        <f>IFERROR(D27/$D$2,"")</f>
        <v>4.5454545454545456E-2</v>
      </c>
      <c r="F27" s="32">
        <f>SUM(F24:F26)</f>
        <v>8</v>
      </c>
      <c r="G27" s="31">
        <f>IFERROR((SUMIFS(KS2_APS,SEN,"E",KS2_APS,"&lt;&gt;",measure,"CAS Attainment 8",Result_set,INDEX(New_Result_set,$B$4))+SUMIFS(KS2_APS,SEN,"S",KS2_APS,"&lt;&gt;",measure,"CAS Attainment 8",Result_set,INDEX(New_Result_set,$B$4))+SUMIFS(KS2_APS,SEN,"K",KS2_APS,"&lt;&gt;",measure,"CAS Attainment 8",Result_set,INDEX(New_Result_set,$B$4)))/F27,"")</f>
        <v>17.324999999999999</v>
      </c>
      <c r="H27" s="156">
        <f>SUM(H24:H26)</f>
        <v>0</v>
      </c>
      <c r="I27" s="155">
        <f>IFERROR(H27/D27,"")</f>
        <v>0</v>
      </c>
      <c r="J27" s="154">
        <v>0.36</v>
      </c>
      <c r="K27" s="153">
        <f>SUM(K24:K26)</f>
        <v>1</v>
      </c>
      <c r="L27" s="152">
        <f>IFERROR(K27/D27,"")</f>
        <v>0.125</v>
      </c>
      <c r="M27" s="151">
        <v>0.37</v>
      </c>
      <c r="N27" s="34">
        <f>SUM(N24:N26)</f>
        <v>0</v>
      </c>
      <c r="O27" s="147">
        <f>IFERROR(N27/D27,"")</f>
        <v>0</v>
      </c>
      <c r="P27" s="146">
        <v>0.25</v>
      </c>
      <c r="Q27" s="150">
        <f>SUM(Q24:Q26)</f>
        <v>0</v>
      </c>
      <c r="R27" s="149">
        <f>IFERROR(Q27/D27,"")</f>
        <v>0</v>
      </c>
      <c r="S27" s="148">
        <v>0.06</v>
      </c>
      <c r="T27" s="34">
        <f>SUM(T24:T26)</f>
        <v>0</v>
      </c>
      <c r="U27" s="147">
        <f>IFERROR(T27/D27,"")</f>
        <v>0</v>
      </c>
      <c r="V27" s="157">
        <v>0.23</v>
      </c>
      <c r="Z27" s="6"/>
      <c r="AA27" s="6"/>
      <c r="AB27" s="6"/>
      <c r="AC27" s="1"/>
    </row>
    <row r="28" spans="3:29" ht="18" x14ac:dyDescent="0.25">
      <c r="C28" s="48" t="s">
        <v>338</v>
      </c>
      <c r="D28" s="47">
        <f>D10-D27</f>
        <v>168</v>
      </c>
      <c r="E28" s="45">
        <f>IFERROR(D28/$D$2,"")</f>
        <v>0.95454545454545459</v>
      </c>
      <c r="F28" s="32">
        <f>F10-F27</f>
        <v>168</v>
      </c>
      <c r="G28" s="31">
        <f>IFERROR((SUMIFS(KS2_APS,measure,"CAS Attainment 8",KS2_APS,"&lt;&gt;",Result_set,INDEX(New_Result_set,$B$4))-(SUMIFS(KS2_APS,SEN,"E",KS2_APS,"&lt;&gt;",measure,"CAS Attainment 8",Result_set,INDEX(New_Result_set,$B$4))+SUMIFS(KS2_APS,SEN,"S",KS2_APS,"&lt;&gt;",measure,"CAS Attainment 8",Result_set,INDEX(New_Result_set,$B$4))+SUMIFS(KS2_APS,SEN,"K",KS2_APS,"&lt;&gt;",measure,"CAS Attainment 8",Result_set,INDEX(New_Result_set,$B$4))))/F28,"")</f>
        <v>26.258928571428516</v>
      </c>
      <c r="H28" s="156">
        <f>H10-H27</f>
        <v>100</v>
      </c>
      <c r="I28" s="155">
        <f>IFERROR(H28/D28,"")</f>
        <v>0.59523809523809523</v>
      </c>
      <c r="J28" s="154">
        <v>0.75</v>
      </c>
      <c r="K28" s="153">
        <f>K10-K27</f>
        <v>97</v>
      </c>
      <c r="L28" s="152">
        <f>IFERROR(K28/D28,"")</f>
        <v>0.57738095238095233</v>
      </c>
      <c r="M28" s="151"/>
      <c r="N28" s="34">
        <f>N10-N27</f>
        <v>85</v>
      </c>
      <c r="O28" s="147">
        <f>IFERROR(N28/D28,"")</f>
        <v>0.50595238095238093</v>
      </c>
      <c r="P28" s="146">
        <v>0.65</v>
      </c>
      <c r="Q28" s="150">
        <f>Q10-Q27</f>
        <v>58</v>
      </c>
      <c r="R28" s="149">
        <f>IFERROR(Q28/D28,"")</f>
        <v>0.34523809523809523</v>
      </c>
      <c r="S28" s="148">
        <v>0.27</v>
      </c>
      <c r="T28" s="34">
        <f>T10-T27</f>
        <v>85</v>
      </c>
      <c r="U28" s="147">
        <f>IFERROR(T28/D28,"")</f>
        <v>0.50595238095238093</v>
      </c>
      <c r="V28" s="157">
        <v>0.63</v>
      </c>
      <c r="Z28" s="6"/>
      <c r="AA28" s="6"/>
      <c r="AB28" s="6"/>
      <c r="AC28" s="1"/>
    </row>
    <row r="29" spans="3:29" ht="18" x14ac:dyDescent="0.25">
      <c r="C29" s="55" t="s">
        <v>337</v>
      </c>
      <c r="D29" s="164" t="s">
        <v>336</v>
      </c>
      <c r="E29" s="163">
        <f>IFERROR(ABS(E10-E27),"")</f>
        <v>0.95454545454545459</v>
      </c>
      <c r="F29" s="160" t="s">
        <v>336</v>
      </c>
      <c r="G29" s="162">
        <f>IFERROR(ABS(G28-G27),"")</f>
        <v>8.9339285714285168</v>
      </c>
      <c r="H29" s="160" t="s">
        <v>336</v>
      </c>
      <c r="I29" s="159">
        <f>IFERROR(ABS(I28-I27),"")</f>
        <v>0.59523809523809523</v>
      </c>
      <c r="J29" s="158">
        <f>IFERROR(ABS(J27-J28),"")</f>
        <v>0.39</v>
      </c>
      <c r="K29" s="160" t="s">
        <v>336</v>
      </c>
      <c r="L29" s="159">
        <f>IFERROR(ABS(L28-L27),"")</f>
        <v>0.45238095238095233</v>
      </c>
      <c r="M29" s="158">
        <f>IFERROR(ABS(M27-M28),"")</f>
        <v>0.37</v>
      </c>
      <c r="N29" s="160" t="s">
        <v>336</v>
      </c>
      <c r="O29" s="159">
        <f>IFERROR(ABS(O28-O27),"")</f>
        <v>0.50595238095238093</v>
      </c>
      <c r="P29" s="158">
        <f>IFERROR(ABS(P27-P28),"")</f>
        <v>0.4</v>
      </c>
      <c r="Q29" s="161" t="s">
        <v>336</v>
      </c>
      <c r="R29" s="159">
        <f>IFERROR(ABS(R28-R27),"")</f>
        <v>0.34523809523809523</v>
      </c>
      <c r="S29" s="158">
        <f>IFERROR(ABS(S27-S28),"")</f>
        <v>0.21000000000000002</v>
      </c>
      <c r="T29" s="160" t="s">
        <v>336</v>
      </c>
      <c r="U29" s="159">
        <f>IFERROR(ABS(U28-U27),"")</f>
        <v>0.50595238095238093</v>
      </c>
      <c r="V29" s="158">
        <f>IFERROR(ABS(V27-V28),"")</f>
        <v>0.4</v>
      </c>
      <c r="Z29" s="6"/>
      <c r="AA29" s="6"/>
      <c r="AB29" s="6"/>
      <c r="AC29" s="1"/>
    </row>
    <row r="30" spans="3:29" ht="18" x14ac:dyDescent="0.25">
      <c r="C30" s="48" t="s">
        <v>335</v>
      </c>
      <c r="D30" s="47">
        <f>COUNTIFS(Result_set,INDEX(New_Result_set,$B$4),measure,"CAS Attainment 8",DOA,"&lt;"&amp;$C$6)</f>
        <v>176</v>
      </c>
      <c r="E30" s="45">
        <f>IFERROR(D30/$D$2,"")</f>
        <v>1</v>
      </c>
      <c r="F30" s="32">
        <f>COUNTIFS(Result_set,INDEX(New_Result_set,$B$4),measure,"CAS Attainment 8",KS2_APS,"&lt;&gt;",DOA,"&lt;"&amp;$C$6)</f>
        <v>176</v>
      </c>
      <c r="G30" s="31">
        <f>IFERROR(SUMIFS(KS2_APS,DOA,"&lt;"&amp;C6,KS2_APS,"&lt;&gt;",measure,"CAS Attainment 8",Result_set,INDEX(New_Result_set,$B$4))/F30,"")</f>
        <v>25.852840909090858</v>
      </c>
      <c r="H30" s="156">
        <f>COUNTIFS(Result_set,INDEX(New_Result_set,$B$4),measure,"CAS Passed English?",Result,"Y",DOA,"&lt;"&amp;$C$6)</f>
        <v>100</v>
      </c>
      <c r="I30" s="155">
        <f>IFERROR(H30/D30,"")</f>
        <v>0.56818181818181823</v>
      </c>
      <c r="J30" s="154">
        <v>0.69</v>
      </c>
      <c r="K30" s="153">
        <f>COUNTIFS(Result_set,INDEX(New_Result_set,$B$4),measure,"CAS Passed Maths?",Result,"Y",DOA,"&lt;"&amp;$C$6)</f>
        <v>98</v>
      </c>
      <c r="L30" s="152">
        <f>IFERROR(K30/D30,"")</f>
        <v>0.55681818181818177</v>
      </c>
      <c r="M30" s="151">
        <v>0.69</v>
      </c>
      <c r="N30" s="34">
        <f>COUNTIFS(Result_set,INDEX(New_Result_set,$B$4),measure,"CAS Passed En and ma?",Result,"Y",DOA,"&lt;"&amp;$C$6)</f>
        <v>85</v>
      </c>
      <c r="O30" s="147">
        <f>IFERROR(N30/D30,"")</f>
        <v>0.48295454545454547</v>
      </c>
      <c r="P30" s="146">
        <v>0.55000000000000004</v>
      </c>
      <c r="Q30" s="150">
        <f>COUNTIFS(Result_set,INDEX(New_Result_set,$B$4),measure,"CAS English Bac",Result,"Y",DOA,"&lt;"&amp;$C$6)</f>
        <v>58</v>
      </c>
      <c r="R30" s="149">
        <f>IFERROR(Q30/D30,"")</f>
        <v>0.32954545454545453</v>
      </c>
      <c r="S30" s="148">
        <v>0.24</v>
      </c>
      <c r="T30" s="34">
        <f>COUNTIFS(Result_set,INDEX(New_Result_set,$B$4),measure,"CAS 5 Good GCSEs with En &amp; Ma",Result,"Y",DOA,"&lt;"&amp;$C$6)</f>
        <v>85</v>
      </c>
      <c r="U30" s="147">
        <f>IFERROR(T30/D30,"")</f>
        <v>0.48295454545454547</v>
      </c>
      <c r="V30" s="157">
        <v>0.56999999999999995</v>
      </c>
      <c r="Z30" s="6"/>
      <c r="AA30" s="6"/>
      <c r="AB30" s="6"/>
      <c r="AC30" s="1"/>
    </row>
    <row r="31" spans="3:29" ht="18" x14ac:dyDescent="0.25">
      <c r="C31" s="46" t="s">
        <v>7</v>
      </c>
      <c r="D31" s="36"/>
      <c r="E31" s="45"/>
      <c r="F31" s="32"/>
      <c r="G31" s="31"/>
      <c r="H31" s="156"/>
      <c r="I31" s="155"/>
      <c r="J31" s="154"/>
      <c r="K31" s="153"/>
      <c r="L31" s="152"/>
      <c r="M31" s="151"/>
      <c r="N31" s="34"/>
      <c r="O31" s="147"/>
      <c r="P31" s="146"/>
      <c r="Q31" s="150"/>
      <c r="R31" s="149"/>
      <c r="S31" s="148"/>
      <c r="T31" s="34"/>
      <c r="U31" s="147"/>
      <c r="V31" s="146"/>
      <c r="Z31" s="6"/>
      <c r="AA31" s="6"/>
      <c r="AB31" s="6"/>
      <c r="AC31" s="1"/>
    </row>
    <row r="32" spans="3:29" ht="18.75" thickBot="1" x14ac:dyDescent="0.3">
      <c r="C32" s="30"/>
      <c r="D32" s="20">
        <f>COUNTIFS(Ethnicity,INDEX(newlist,$B$32),Result_set,INDEX(New_Result_set,$B$4),measure,"CAS Attainment 8")</f>
        <v>3</v>
      </c>
      <c r="E32" s="29">
        <f>IFERROR(D32/$D$2,"")</f>
        <v>1.7045454545454544E-2</v>
      </c>
      <c r="F32" s="16">
        <f>COUNTIFS(Ethnicity,INDEX(newlist,$B$32),Result_set,INDEX(New_Result_set,$B$4),measure,"CAS Attainment 8",KS2_APS,"&lt;&gt;")</f>
        <v>3</v>
      </c>
      <c r="G32" s="15">
        <f>IFERROR(SUMIFS(KS2_APS,Ethnicity,INDEX(newlist,B32),KS2_APS,"&lt;&gt;",measure,"CAS Attainment 8",Result_set,INDEX(New_Result_set,$B$4))/F32,"")</f>
        <v>23.12</v>
      </c>
      <c r="H32" s="145">
        <f>COUNTIFS(Ethnicity,INDEX(newlist,$B$32),Result_set,INDEX(New_Result_set,$B$4),measure,"CAS Passed English?",Result,"Y")</f>
        <v>1</v>
      </c>
      <c r="I32" s="144">
        <f>IFERROR(H32/D32,"")</f>
        <v>0.33333333333333331</v>
      </c>
      <c r="J32" s="143"/>
      <c r="K32" s="142">
        <f>COUNTIFS(Ethnicity,INDEX(newlist,$B$32),Result_set,INDEX(New_Result_set,$B$4),measure,"CAS Passed Maths?",Result,"Y")</f>
        <v>1</v>
      </c>
      <c r="L32" s="141">
        <f>IFERROR(K32/D32,"")</f>
        <v>0.33333333333333331</v>
      </c>
      <c r="M32" s="140"/>
      <c r="N32" s="18">
        <f>COUNTIFS(Ethnicity,INDEX(newlist,$B$32),Result_set,INDEX(New_Result_set,$B$4),measure,"CAS Passed En and ma?",Result,"Y")</f>
        <v>1</v>
      </c>
      <c r="O32" s="136">
        <f>IFERROR(N32/D32,"")</f>
        <v>0.33333333333333331</v>
      </c>
      <c r="P32" s="135"/>
      <c r="Q32" s="139">
        <f>COUNTIFS(Ethnicity,INDEX(newlist,$B$32),Result_set,INDEX(New_Result_set,$B$4),measure,"CAS English Bac",Result,"Y")</f>
        <v>1</v>
      </c>
      <c r="R32" s="138">
        <f>IFERROR(Q32/D32,"")</f>
        <v>0.33333333333333331</v>
      </c>
      <c r="S32" s="137"/>
      <c r="T32" s="18">
        <f>COUNTIFS(Ethnicity,INDEX(newlist,$B$32),Result_set,INDEX(New_Result_set,$B$4),measure,"CAS 5 Good GCSEs with En &amp; Ma",Result,"Y")</f>
        <v>1</v>
      </c>
      <c r="U32" s="136">
        <f>IFERROR(T32/D32,"")</f>
        <v>0.33333333333333331</v>
      </c>
      <c r="V32" s="135"/>
      <c r="Z32" s="6"/>
      <c r="AA32" s="6"/>
      <c r="AB32" s="6"/>
      <c r="AC32" s="1"/>
    </row>
    <row r="33" spans="3:40" ht="18" x14ac:dyDescent="0.25">
      <c r="C33" s="132"/>
      <c r="D33" s="132"/>
      <c r="E33" s="132"/>
      <c r="F33" s="132"/>
      <c r="G33" s="132"/>
      <c r="H33" s="134"/>
      <c r="I33" s="132"/>
      <c r="J33" s="133"/>
      <c r="K33" s="133"/>
      <c r="L33" s="133"/>
      <c r="M33" s="133"/>
      <c r="N33" s="133"/>
      <c r="O33" s="133"/>
      <c r="P33" s="133"/>
      <c r="Q33" s="133"/>
      <c r="R33" s="133"/>
      <c r="S33" s="132"/>
      <c r="T33" s="132"/>
      <c r="U33" s="132"/>
      <c r="V33" s="132"/>
      <c r="W33" s="132"/>
      <c r="X33" s="132"/>
      <c r="Y33" s="132"/>
      <c r="Z33" s="131"/>
      <c r="AA33" s="130"/>
      <c r="AB33" s="130"/>
      <c r="AC33" s="69"/>
      <c r="AD33" s="130"/>
      <c r="AE33" s="130"/>
      <c r="AF33" s="130"/>
      <c r="AG33" s="6"/>
      <c r="AH33" s="69"/>
      <c r="AI33" s="69"/>
      <c r="AJ33" s="6"/>
      <c r="AK33" s="69"/>
      <c r="AL33" s="6"/>
      <c r="AM33" s="6"/>
      <c r="AN33" s="6"/>
    </row>
    <row r="34" spans="3:40" ht="18.75" thickBot="1" x14ac:dyDescent="0.3">
      <c r="C34" s="132"/>
      <c r="D34" s="132"/>
      <c r="E34" s="132"/>
      <c r="F34" s="132"/>
      <c r="G34" s="132"/>
      <c r="H34" s="134"/>
      <c r="I34" s="132"/>
      <c r="J34" s="133"/>
      <c r="K34" s="133"/>
      <c r="L34" s="133"/>
      <c r="M34" s="133"/>
      <c r="N34" s="133"/>
      <c r="O34" s="133"/>
      <c r="P34" s="133"/>
      <c r="Q34" s="133"/>
      <c r="R34" s="133"/>
      <c r="S34" s="132"/>
      <c r="T34" s="132"/>
      <c r="U34" s="132"/>
      <c r="V34" s="132"/>
      <c r="W34" s="132"/>
      <c r="X34" s="132"/>
      <c r="Y34" s="132"/>
      <c r="Z34" s="131"/>
      <c r="AA34" s="130"/>
      <c r="AB34" s="130"/>
      <c r="AC34" s="69"/>
      <c r="AD34" s="130"/>
      <c r="AE34" s="130"/>
      <c r="AF34" s="130"/>
      <c r="AG34" s="6"/>
      <c r="AH34" s="69"/>
      <c r="AI34" s="69"/>
      <c r="AJ34" s="6"/>
      <c r="AK34" s="69"/>
      <c r="AL34" s="6"/>
      <c r="AM34" s="6"/>
      <c r="AN34" s="6"/>
    </row>
    <row r="35" spans="3:40" ht="40.5" customHeight="1" thickBot="1" x14ac:dyDescent="0.3">
      <c r="C35" s="108"/>
      <c r="D35" s="114" t="s">
        <v>370</v>
      </c>
      <c r="E35" s="129"/>
      <c r="F35" s="128" t="s">
        <v>369</v>
      </c>
      <c r="G35" s="127"/>
      <c r="H35" s="126"/>
      <c r="I35" s="119" t="s">
        <v>368</v>
      </c>
      <c r="J35" s="118"/>
      <c r="K35" s="117"/>
      <c r="L35" s="125" t="s">
        <v>367</v>
      </c>
      <c r="M35" s="124"/>
      <c r="N35" s="123"/>
      <c r="O35" s="122" t="s">
        <v>366</v>
      </c>
      <c r="P35" s="121"/>
      <c r="Q35" s="120"/>
      <c r="R35" s="119" t="s">
        <v>365</v>
      </c>
      <c r="S35" s="118"/>
      <c r="T35" s="117"/>
      <c r="U35" s="116" t="s">
        <v>364</v>
      </c>
      <c r="V35" s="115"/>
      <c r="W35" s="110" t="s">
        <v>363</v>
      </c>
      <c r="X35" s="109"/>
      <c r="Y35" s="114" t="s">
        <v>362</v>
      </c>
      <c r="Z35" s="113"/>
      <c r="AA35" s="112" t="s">
        <v>361</v>
      </c>
      <c r="AB35" s="111"/>
      <c r="AC35" s="110" t="s">
        <v>360</v>
      </c>
      <c r="AD35" s="109"/>
      <c r="AE35" s="6"/>
      <c r="AF35" s="69"/>
      <c r="AG35" s="69"/>
      <c r="AH35" s="6"/>
      <c r="AI35" s="69"/>
      <c r="AJ35" s="6"/>
      <c r="AK35" s="6"/>
      <c r="AL35" s="6"/>
    </row>
    <row r="36" spans="3:40" ht="18.75" thickBot="1" x14ac:dyDescent="0.3">
      <c r="C36" s="108"/>
      <c r="D36" s="104" t="s">
        <v>54</v>
      </c>
      <c r="E36" s="107" t="s">
        <v>359</v>
      </c>
      <c r="F36" s="101" t="s">
        <v>357</v>
      </c>
      <c r="G36" s="100" t="s">
        <v>356</v>
      </c>
      <c r="H36" s="106" t="s">
        <v>358</v>
      </c>
      <c r="I36" s="98" t="s">
        <v>357</v>
      </c>
      <c r="J36" s="97" t="s">
        <v>356</v>
      </c>
      <c r="K36" s="105" t="s">
        <v>358</v>
      </c>
      <c r="L36" s="104" t="s">
        <v>357</v>
      </c>
      <c r="M36" s="103" t="s">
        <v>356</v>
      </c>
      <c r="N36" s="102" t="s">
        <v>358</v>
      </c>
      <c r="O36" s="101" t="s">
        <v>357</v>
      </c>
      <c r="P36" s="100" t="s">
        <v>356</v>
      </c>
      <c r="Q36" s="99" t="s">
        <v>358</v>
      </c>
      <c r="R36" s="98" t="s">
        <v>357</v>
      </c>
      <c r="S36" s="97" t="s">
        <v>356</v>
      </c>
      <c r="T36" s="96" t="s">
        <v>358</v>
      </c>
      <c r="U36" s="95" t="s">
        <v>357</v>
      </c>
      <c r="V36" s="94" t="s">
        <v>356</v>
      </c>
      <c r="W36" s="89" t="s">
        <v>357</v>
      </c>
      <c r="X36" s="88" t="s">
        <v>356</v>
      </c>
      <c r="Y36" s="93" t="s">
        <v>357</v>
      </c>
      <c r="Z36" s="92" t="s">
        <v>356</v>
      </c>
      <c r="AA36" s="91" t="s">
        <v>357</v>
      </c>
      <c r="AB36" s="90" t="s">
        <v>356</v>
      </c>
      <c r="AC36" s="89" t="s">
        <v>357</v>
      </c>
      <c r="AD36" s="88" t="s">
        <v>356</v>
      </c>
      <c r="AE36" s="6"/>
      <c r="AF36" s="69"/>
      <c r="AG36" s="69"/>
      <c r="AH36" s="6"/>
      <c r="AI36" s="69"/>
      <c r="AJ36" s="6"/>
      <c r="AK36" s="6"/>
      <c r="AL36" s="6"/>
    </row>
    <row r="37" spans="3:40" ht="18" x14ac:dyDescent="0.25">
      <c r="C37" s="87" t="s">
        <v>355</v>
      </c>
      <c r="D37" s="76">
        <f>COUNTIFS(Result_set,INDEX(New_Result_set,$B$4),measure,"CAS Attainment 8")</f>
        <v>176</v>
      </c>
      <c r="E37" s="86">
        <f>IFERROR(D37/$D$2,"")</f>
        <v>1</v>
      </c>
      <c r="F37" s="83">
        <f>COUNTIFS(Result_set,INDEX(New_Result_set,$B$4),measure,"CAS Attainment 8")</f>
        <v>176</v>
      </c>
      <c r="G37" s="85">
        <f>IFERROR(AVERAGEIFS(Result,measure,"CAS Attainment 8",Result_set,INDEX(New_Result_set,$B$4))*10,"")</f>
        <v>41.957386363636374</v>
      </c>
      <c r="H37" s="56">
        <v>47.78</v>
      </c>
      <c r="I37" s="78">
        <f>COUNTIFS(Result_set,INDEX(New_Result_set,$B$4),measure,"CAS Attainment En")</f>
        <v>176</v>
      </c>
      <c r="J37" s="81">
        <f>IFERROR(AVERAGEIFS(Result,measure,"CAS Attainment En",Result_set,INDEX(New_Result_set,$B$4)),"")</f>
        <v>9.2613636363636367</v>
      </c>
      <c r="K37" s="59">
        <v>10.32</v>
      </c>
      <c r="L37" s="76">
        <f>COUNTIFS(Result_set,INDEX(New_Result_set,$B$4),measure,"CAS Attainment Ma")</f>
        <v>176</v>
      </c>
      <c r="M37" s="84">
        <f>IFERROR(AVERAGEIFS(Result,measure,"CAS Attainment Ma",Result_set,INDEX(New_Result_set,$B$4)),"")</f>
        <v>8.829545454545455</v>
      </c>
      <c r="N37" s="58">
        <v>9.64</v>
      </c>
      <c r="O37" s="83">
        <f>COUNTIFS(Result_set,INDEX(New_Result_set,$B$4),measure,"CAS Attainment Ebacc")</f>
        <v>176</v>
      </c>
      <c r="P37" s="82">
        <f>IFERROR(AVERAGEIFS(Result,measure,"CAS Attainment Ebacc",Result_set,INDEX(New_Result_set,$B$4)),"")</f>
        <v>11.573863636363637</v>
      </c>
      <c r="Q37" s="57">
        <v>12.52</v>
      </c>
      <c r="R37" s="78">
        <f>COUNTIFS(Result_set,INDEX(New_Result_set,$B$4),measure,"CAS Attainment Open")</f>
        <v>176</v>
      </c>
      <c r="S37" s="81">
        <f>IFERROR(AVERAGEIFS(Result,measure,"CAS Attainment Open",Result_set,INDEX(New_Result_set,$B$4)),"")</f>
        <v>12.292613636363637</v>
      </c>
      <c r="T37" s="56">
        <v>15.3</v>
      </c>
      <c r="U37" s="80">
        <f>COUNTIFS(Result_set,INDEX(New_Result_set,$B$4),measure,"CAS Progress 8")</f>
        <v>168</v>
      </c>
      <c r="V37" s="79">
        <f>IFERROR(AVERAGEIFS(Result,measure,"CAS Progress 8",Result_set,INDEX(New_Result_set,$B$4)),"")</f>
        <v>-7.9642857142857224E-2</v>
      </c>
      <c r="W37" s="78">
        <f>COUNTIFS(Result_set,INDEX(New_Result_set,$B$4),measure,"CAS Progress English")</f>
        <v>168</v>
      </c>
      <c r="X37" s="77">
        <f>IFERROR(AVERAGEIFS(Result,measure,"CAS Progress English",Result_set,INDEX(New_Result_set,$B$4)),"")</f>
        <v>-0.1642857142857147</v>
      </c>
      <c r="Y37" s="76">
        <f>COUNTIFS(Result_set,INDEX(New_Result_set,$B$4),measure,"CAS Progress Maths")</f>
        <v>168</v>
      </c>
      <c r="Z37" s="75">
        <f>IFERROR(AVERAGEIFS(Result,measure,"CAS Progress Maths",Result_set,INDEX(New_Result_set,$B$4)),"")</f>
        <v>0.21904761904761907</v>
      </c>
      <c r="AA37" s="74">
        <f>COUNTIFS(Result_set,INDEX(New_Result_set,$B$4),measure,"CAS Progress Ebacc")</f>
        <v>168</v>
      </c>
      <c r="AB37" s="73">
        <f>IFERROR(AVERAGEIFS(Result,measure,"CAS Progress Ebacc",Result_set,INDEX(New_Result_set,$B$4)),"")</f>
        <v>1.1672023809523806</v>
      </c>
      <c r="AC37" s="72">
        <f>COUNTIFS(Result_set,INDEX(New_Result_set,$B$4),measure,"CAS Progress Open")</f>
        <v>168</v>
      </c>
      <c r="AD37" s="71">
        <f>IFERROR(AVERAGEIFS(Result,measure,"CAS Progress Open",Result_set,INDEX(New_Result_set,$B$4)),"")</f>
        <v>-2.0694047619047571</v>
      </c>
      <c r="AE37" s="6"/>
      <c r="AF37" s="69"/>
      <c r="AG37" s="69"/>
      <c r="AH37" s="6"/>
      <c r="AI37" s="69"/>
      <c r="AJ37" s="6"/>
      <c r="AK37" s="6"/>
      <c r="AL37" s="6"/>
    </row>
    <row r="38" spans="3:40" ht="18" x14ac:dyDescent="0.25">
      <c r="C38" s="61" t="s">
        <v>354</v>
      </c>
      <c r="D38" s="36">
        <f>COUNTIFS(Result_set,INDEX(New_Result_set,$B$4),measure,"CAS Attainment 8",Gender,"M")</f>
        <v>86</v>
      </c>
      <c r="E38" s="45">
        <f>IFERROR(D38/$D$2,"")</f>
        <v>0.48863636363636365</v>
      </c>
      <c r="F38" s="43">
        <f>COUNTIFS(Result_set,INDEX(New_Result_set,$B$4),measure,"CAS Attainment 8",Gender,"M")</f>
        <v>86</v>
      </c>
      <c r="G38" s="42">
        <f>IFERROR(SUMIFS(Result,Gender,"M",measure,"CAS Attainment 8",Result_set,INDEX(New_Result_set,$B$4))*10/F38,"")</f>
        <v>42.046511627906973</v>
      </c>
      <c r="H38" s="56">
        <v>45.62</v>
      </c>
      <c r="I38" s="32">
        <f>COUNTIFS(Result_set,INDEX(New_Result_set,$B$4),measure,"CAS Attainment En",Gender,"M")</f>
        <v>86</v>
      </c>
      <c r="J38" s="70">
        <f>IFERROR(SUMIFS(Result,Gender,"M",measure,"CAS Attainment En",Result_set,INDEX(New_Result_set,$B$4))/I38,"")</f>
        <v>9.3255813953488378</v>
      </c>
      <c r="K38" s="59">
        <v>9.7100000000000009</v>
      </c>
      <c r="L38" s="36">
        <f>COUNTIFS(Result_set,INDEX(New_Result_set,$B$4),measure,"CAS Attainment Ma",Gender,"M")</f>
        <v>86</v>
      </c>
      <c r="M38" s="35">
        <f>IFERROR(SUMIFS(Result,Gender,"M",measure,"CAS Attainment Ma",Result_set,INDEX(New_Result_set,$B$4))/L38,"")</f>
        <v>8.8139534883720927</v>
      </c>
      <c r="N38" s="58">
        <v>9.59</v>
      </c>
      <c r="O38" s="43">
        <f>COUNTIFS(Result_set,INDEX(New_Result_set,$B$4),measure,"CAS Attainment Ebacc",Gender,"M")</f>
        <v>86</v>
      </c>
      <c r="P38" s="42">
        <f>IFERROR(SUMIFS(Result,Gender,"M",measure,"CAS Attainment Ebacc",Result_set,INDEX(New_Result_set,$B$4))/O38,"")</f>
        <v>11.575581395348838</v>
      </c>
      <c r="Q38" s="57">
        <v>11.96</v>
      </c>
      <c r="R38" s="32">
        <f>COUNTIFS(Result_set,INDEX(New_Result_set,$B$4),measure,"CAS Attainment Open",Gender,"M")</f>
        <v>86</v>
      </c>
      <c r="S38" s="37">
        <f>IFERROR(SUMIFS(Result,Gender,"M",measure,"CAS Attainment Open",Result_set,INDEX(New_Result_set,$B$4))/R38,"")</f>
        <v>12.331395348837209</v>
      </c>
      <c r="T38" s="56">
        <v>14.35</v>
      </c>
      <c r="U38" s="39">
        <f>COUNTIFS(Result_set,INDEX(New_Result_set,$B$4),measure,"CAS Progress 8",Gender,"M")</f>
        <v>80</v>
      </c>
      <c r="V38" s="38">
        <f>IFERROR(SUMIFS(Result,Gender,"M",measure,"CAS Progress 8",Result_set,INDEX(New_Result_set,$B$4))/U38,"")</f>
        <v>-0.10262500000000004</v>
      </c>
      <c r="W38" s="32">
        <f>COUNTIFS(Result_set,INDEX(New_Result_set,$B$4),measure,"CAS Progress English",Gender,"M")</f>
        <v>80</v>
      </c>
      <c r="X38" s="37">
        <f>IFERROR(SUMIFS(Result,Gender,"M",measure,"CAS Progress English",Result_set,INDEX(New_Result_set,$B$4))/W38,"")</f>
        <v>-0.15762500000000024</v>
      </c>
      <c r="Y38" s="36">
        <f>COUNTIFS(Result_set,INDEX(New_Result_set,$B$4),measure,"CAS Progress Maths",Gender,"M")</f>
        <v>80</v>
      </c>
      <c r="Z38" s="35">
        <f>IFERROR(SUMIFS(Result,Gender,"M",measure,"CAS Progress Maths",Result_set,INDEX(New_Result_set,$B$4))/Y38,"")</f>
        <v>0.19012499999999999</v>
      </c>
      <c r="AA38" s="34">
        <f>COUNTIFS(Result_set,INDEX(New_Result_set,$B$4),measure,"CAS Progress Ebacc",Gender,"M")</f>
        <v>80</v>
      </c>
      <c r="AB38" s="33">
        <f>IFERROR(SUMIFS(Result,Gender,"M",measure,"CAS Progress Ebacc",Result_set,INDEX(New_Result_set,$B$4))/AA38,"")</f>
        <v>1.1046250000000002</v>
      </c>
      <c r="AC38" s="32">
        <f>COUNTIFS(Result_set,INDEX(New_Result_set,$B$4),measure,"CAS Progress Open",Gender,"M")</f>
        <v>80</v>
      </c>
      <c r="AD38" s="31">
        <f>IFERROR(SUMIFS(Result,Gender,"M",measure,"CAS Progress Open",Result_set,INDEX(New_Result_set,$B$4))/AC38,"")</f>
        <v>-2.1897499999999988</v>
      </c>
      <c r="AE38" s="6"/>
      <c r="AF38" s="69"/>
      <c r="AG38" s="69"/>
      <c r="AH38" s="6"/>
      <c r="AI38" s="69"/>
      <c r="AJ38" s="6"/>
      <c r="AK38" s="6"/>
      <c r="AL38" s="6"/>
    </row>
    <row r="39" spans="3:40" ht="18" x14ac:dyDescent="0.25">
      <c r="C39" s="61" t="s">
        <v>353</v>
      </c>
      <c r="D39" s="36">
        <f>COUNTIFS(Result_set,INDEX(New_Result_set,$B$4),measure,"CAS Attainment 8",Gender,"F")</f>
        <v>90</v>
      </c>
      <c r="E39" s="45">
        <f>IFERROR(D39/$D$2,"")</f>
        <v>0.51136363636363635</v>
      </c>
      <c r="F39" s="43">
        <f>COUNTIFS(Result_set,INDEX(New_Result_set,$B$4),measure,"CAS Attainment 8",Gender,"F")</f>
        <v>90</v>
      </c>
      <c r="G39" s="42">
        <f>IFERROR(SUMIFS(Result,Gender,"F",measure,"CAS Attainment 8",Result_set,INDEX(New_Result_set,$B$4))*10/F39,"")</f>
        <v>41.872222222222213</v>
      </c>
      <c r="H39" s="56">
        <v>50.04</v>
      </c>
      <c r="I39" s="32">
        <f>COUNTIFS(Result_set,INDEX(New_Result_set,$B$4),measure,"CAS Attainment En",Gender,"F")</f>
        <v>90</v>
      </c>
      <c r="J39" s="37">
        <f>IFERROR(SUMIFS(Result,Gender,"F",measure,"CAS Attainment En",Result_set,INDEX(New_Result_set,$B$4))/I39,"")</f>
        <v>9.1999999999999993</v>
      </c>
      <c r="K39" s="59">
        <v>10.96</v>
      </c>
      <c r="L39" s="36">
        <f>COUNTIFS(Result_set,INDEX(New_Result_set,$B$4),measure,"CAS Attainment Ma",Gender,"F")</f>
        <v>90</v>
      </c>
      <c r="M39" s="35">
        <f>IFERROR(SUMIFS(Result,Gender,"F",measure,"CAS Attainment Ma",Result_set,INDEX(New_Result_set,$B$4))/L39,"")</f>
        <v>8.844444444444445</v>
      </c>
      <c r="N39" s="58">
        <v>9.6999999999999993</v>
      </c>
      <c r="O39" s="43">
        <f>COUNTIFS(Result_set,INDEX(New_Result_set,$B$4),measure,"CAS Attainment Ebacc",Gender,"F")</f>
        <v>90</v>
      </c>
      <c r="P39" s="42">
        <f>IFERROR(SUMIFS(Result,Gender,"F",measure,"CAS Attainment Ebacc",Result_set,INDEX(New_Result_set,$B$4))/O39,"")</f>
        <v>11.572222222222223</v>
      </c>
      <c r="Q39" s="57">
        <v>13.1</v>
      </c>
      <c r="R39" s="32">
        <f>COUNTIFS(Result_set,INDEX(New_Result_set,$B$4),measure,"CAS Attainment Open",Gender,"F")</f>
        <v>90</v>
      </c>
      <c r="S39" s="37">
        <f>IFERROR(SUMIFS(Result,Gender,"F",measure,"CAS Attainment Open",Result_set,INDEX(New_Result_set,$B$4))/R39,"")</f>
        <v>12.255555555555556</v>
      </c>
      <c r="T39" s="56">
        <v>16.28</v>
      </c>
      <c r="U39" s="39">
        <f>COUNTIFS(Result_set,INDEX(New_Result_set,$B$4),measure,"CAS Progress 8",Gender,"F")</f>
        <v>88</v>
      </c>
      <c r="V39" s="38">
        <f>IFERROR(SUMIFS(Result,Gender,"F",measure,"CAS Progress 8",Result_set,INDEX(New_Result_set,$B$4))/U39,"")</f>
        <v>-5.874999999999999E-2</v>
      </c>
      <c r="W39" s="32">
        <f>COUNTIFS(Result_set,INDEX(New_Result_set,$B$4),measure,"CAS Progress English",Gender,"F")</f>
        <v>88</v>
      </c>
      <c r="X39" s="37">
        <f>IFERROR(SUMIFS(Result,Gender,"F",measure,"CAS Progress English",Result_set,INDEX(New_Result_set,$B$4))/W39,"")</f>
        <v>-0.17034090909090935</v>
      </c>
      <c r="Y39" s="36">
        <f>COUNTIFS(Result_set,INDEX(New_Result_set,$B$4),measure,"CAS Progress Maths",Gender,"F")</f>
        <v>88</v>
      </c>
      <c r="Z39" s="35">
        <f>IFERROR(SUMIFS(Result,Gender,"F",measure,"CAS Progress Maths",Result_set,INDEX(New_Result_set,$B$4))/Y39,"")</f>
        <v>0.245340909090909</v>
      </c>
      <c r="AA39" s="34">
        <f>COUNTIFS(Result_set,INDEX(New_Result_set,$B$4),measure,"CAS Progress Ebacc",Gender,"F")</f>
        <v>88</v>
      </c>
      <c r="AB39" s="33">
        <f>IFERROR(SUMIFS(Result,Gender,"F",measure,"CAS Progress Ebacc",Result_set,INDEX(New_Result_set,$B$4))/AA39,"")</f>
        <v>1.2240909090909087</v>
      </c>
      <c r="AC39" s="32">
        <f>COUNTIFS(Result_set,INDEX(New_Result_set,$B$4),measure,"CAS Progress Open",Gender,"F")</f>
        <v>88</v>
      </c>
      <c r="AD39" s="68">
        <f>IFERROR(SUMIFS(Result,Gender,"F",measure,"CAS Progress Open",Result_set,INDEX(New_Result_set,$B$4))/AC39,"")</f>
        <v>-1.959999999999998</v>
      </c>
    </row>
    <row r="40" spans="3:40" ht="18" x14ac:dyDescent="0.25">
      <c r="C40" s="66" t="s">
        <v>352</v>
      </c>
      <c r="D40" s="54" t="s">
        <v>336</v>
      </c>
      <c r="E40" s="65">
        <f>IFERROR(ABS(E38-E39),"")</f>
        <v>2.2727272727272707E-2</v>
      </c>
      <c r="F40" s="54" t="s">
        <v>336</v>
      </c>
      <c r="G40" s="64">
        <f>IFERROR(ABS(G38-G39),"")</f>
        <v>0.17428940568476037</v>
      </c>
      <c r="H40" s="51">
        <f>IFERROR(ABS(H38-H39),"")</f>
        <v>4.4200000000000017</v>
      </c>
      <c r="I40" s="54" t="s">
        <v>336</v>
      </c>
      <c r="J40" s="64">
        <f>IFERROR(ABS(J38-J39),"")</f>
        <v>0.1255813953488385</v>
      </c>
      <c r="K40" s="51">
        <f>IFERROR(ABS(K38-K39),"")</f>
        <v>1.25</v>
      </c>
      <c r="L40" s="54" t="s">
        <v>336</v>
      </c>
      <c r="M40" s="64">
        <f>IFERROR(ABS(M38-M39),"")</f>
        <v>3.0490956072352304E-2</v>
      </c>
      <c r="N40" s="51">
        <f>IFERROR(ABS(N38-N39),"")</f>
        <v>0.10999999999999943</v>
      </c>
      <c r="O40" s="54" t="s">
        <v>336</v>
      </c>
      <c r="P40" s="64">
        <f>IFERROR(ABS(P38-P39),"")</f>
        <v>3.3591731266149338E-3</v>
      </c>
      <c r="Q40" s="51">
        <f>IFERROR(ABS(Q38-Q39),"")</f>
        <v>1.1399999999999988</v>
      </c>
      <c r="R40" s="54" t="s">
        <v>336</v>
      </c>
      <c r="S40" s="64">
        <f>IFERROR(ABS(S38-S39),"")</f>
        <v>7.5839793281652135E-2</v>
      </c>
      <c r="T40" s="51">
        <f>IFERROR(ABS(T38-T39),"")</f>
        <v>1.9300000000000015</v>
      </c>
      <c r="U40" s="54" t="s">
        <v>336</v>
      </c>
      <c r="V40" s="64">
        <f>IFERROR(ABS(V38-V39),"")</f>
        <v>4.3875000000000046E-2</v>
      </c>
      <c r="W40" s="54" t="s">
        <v>336</v>
      </c>
      <c r="X40" s="64">
        <f>IFERROR(ABS(X38-X39),"")</f>
        <v>1.2715909090909111E-2</v>
      </c>
      <c r="Y40" s="54" t="s">
        <v>336</v>
      </c>
      <c r="Z40" s="64">
        <f>IFERROR(ABS(Z38-Z39),"")</f>
        <v>5.521590909090901E-2</v>
      </c>
      <c r="AA40" s="54" t="s">
        <v>336</v>
      </c>
      <c r="AB40" s="64">
        <f>IFERROR(ABS(AB38-AB39),"")</f>
        <v>0.11946590909090848</v>
      </c>
      <c r="AC40" s="67" t="s">
        <v>336</v>
      </c>
      <c r="AD40" s="63">
        <f>IFERROR(ABS(AD38-AD39),"")</f>
        <v>0.22975000000000079</v>
      </c>
    </row>
    <row r="41" spans="3:40" ht="18" x14ac:dyDescent="0.25">
      <c r="C41" s="61" t="s">
        <v>351</v>
      </c>
      <c r="D41" s="36">
        <f>COUNTIFS(Result_set,INDEX(New_Result_set,$B$4),measure,"CAS Attainment 8",Pupil_Premium,"T")</f>
        <v>23</v>
      </c>
      <c r="E41" s="45">
        <f>IFERROR(D41/$D$2,"")</f>
        <v>0.13068181818181818</v>
      </c>
      <c r="F41" s="43">
        <f>COUNTIFS(Result_set,INDEX(New_Result_set,$B$4),measure,"CAS Attainment 8",Pupil_Premium,"T")</f>
        <v>23</v>
      </c>
      <c r="G41" s="42">
        <f>IFERROR(SUMIFS(Result,Pupil_Premium,"T",measure,"CAS Attainment 8",Result_set,INDEX(New_Result_set,$B$4))*10/F41,"")</f>
        <v>47.304347826086968</v>
      </c>
      <c r="H41" s="56">
        <v>51.19</v>
      </c>
      <c r="I41" s="32">
        <f>COUNTIFS(Result_set,INDEX(New_Result_set,$B$4),measure,"CAS Attainment En",Pupil_Premium,"T")</f>
        <v>23</v>
      </c>
      <c r="J41" s="37">
        <f>IFERROR(SUMIFS(Result,Pupil_Premium,"T",measure,"CAS Attainment En",Result_set,INDEX(New_Result_set,$B$4))/I41,"")</f>
        <v>10.086956521739131</v>
      </c>
      <c r="K41" s="59">
        <v>10.87</v>
      </c>
      <c r="L41" s="36">
        <f>COUNTIFS(Result_set,INDEX(New_Result_set,$B$4),measure,"CAS Attainment Ma",Pupil_Premium,"T")</f>
        <v>23</v>
      </c>
      <c r="M41" s="35">
        <f>IFERROR(SUMIFS(Result,Pupil_Premium,"T",measure,"CAS Attainment Ma",Result_set,INDEX(New_Result_set,$B$4))/L41,"")</f>
        <v>10.434782608695652</v>
      </c>
      <c r="N41" s="58">
        <v>10.32</v>
      </c>
      <c r="O41" s="43">
        <f>COUNTIFS(Result_set,INDEX(New_Result_set,$B$4),measure,"CAS Attainment Ebacc",Pupil_Premium,"T")</f>
        <v>23</v>
      </c>
      <c r="P41" s="42">
        <f>IFERROR(SUMIFS(Result,Pupil_Premium,"T",measure,"CAS Attainment Ebacc",Result_set,INDEX(New_Result_set,$B$4))/O41,"")</f>
        <v>13.413043478260869</v>
      </c>
      <c r="Q41" s="57">
        <v>13.83</v>
      </c>
      <c r="R41" s="32">
        <f>COUNTIFS(Result_set,INDEX(New_Result_set,$B$4),measure,"CAS Attainment Open",Pupil_Premium,"T")</f>
        <v>23</v>
      </c>
      <c r="S41" s="37">
        <f>IFERROR(SUMIFS(Result,Pupil_Premium,"T",measure,"CAS Attainment Open",Result_set,INDEX(New_Result_set,$B$4))/R41,"")</f>
        <v>13.369565217391305</v>
      </c>
      <c r="T41" s="56">
        <v>16.170000000000002</v>
      </c>
      <c r="U41" s="39">
        <f>COUNTIFS(Result_set,INDEX(New_Result_set,$B$4),measure,"CAS Progress 8",Pupil_Premium,"T")</f>
        <v>21</v>
      </c>
      <c r="V41" s="38">
        <f>IFERROR(SUMIFS(Result,Pupil_Premium,"T",measure,"CAS Progress 8",Result_set,INDEX(New_Result_set,$B$4))/U41,"")</f>
        <v>-0.48333333333333334</v>
      </c>
      <c r="W41" s="32">
        <f>COUNTIFS(Result_set,INDEX(New_Result_set,$B$4),measure,"CAS Progress English",Pupil_Premium,"T")</f>
        <v>21</v>
      </c>
      <c r="X41" s="37">
        <f>IFERROR(SUMIFS(Result,Pupil_Premium,"T",measure,"CAS Progress English",Result_set,INDEX(New_Result_set,$B$4))/W41,"")</f>
        <v>-0.52761904761904765</v>
      </c>
      <c r="Y41" s="36">
        <f>COUNTIFS(Result_set,INDEX(New_Result_set,$B$4),measure,"CAS Progress Maths",Pupil_Premium,"T")</f>
        <v>21</v>
      </c>
      <c r="Z41" s="35">
        <f>IFERROR(SUMIFS(Result,Pupil_Premium,"T",measure,"CAS Progress Maths",Result_set,INDEX(New_Result_set,$B$4))/Y41,"")</f>
        <v>-8.5714285714286326E-3</v>
      </c>
      <c r="AA41" s="34">
        <f>COUNTIFS(Result_set,INDEX(New_Result_set,$B$4),measure,"CAS Progress Ebacc",Pupil_Premium,"T")</f>
        <v>21</v>
      </c>
      <c r="AB41" s="33">
        <f>IFERROR(SUMIFS(Result,Pupil_Premium,"T",measure,"CAS Progress Ebacc",Result_set,INDEX(New_Result_set,$B$4))/AA41,"")</f>
        <v>-0.70238095238095266</v>
      </c>
      <c r="AC41" s="32">
        <f>COUNTIFS(Result_set,INDEX(New_Result_set,$B$4),measure,"CAS Progress Open",Pupil_Premium,"T")</f>
        <v>21</v>
      </c>
      <c r="AD41" s="62">
        <f>IFERROR(SUMIFS(Result,Pupil_Premium,"T",measure,"CAS Progress Open",Result_set,INDEX(New_Result_set,$B$4))/AC41,"")</f>
        <v>-3.0595238095238093</v>
      </c>
    </row>
    <row r="42" spans="3:40" ht="18" x14ac:dyDescent="0.25">
      <c r="C42" s="61" t="s">
        <v>350</v>
      </c>
      <c r="D42" s="36">
        <f>COUNTIFS(Result_set,INDEX(New_Result_set,$B$4),measure,"CAS Attainment 8",Pupil_Premium,"&lt;&gt;T")</f>
        <v>153</v>
      </c>
      <c r="E42" s="45">
        <f>IFERROR(D42/$D$2,"")</f>
        <v>0.86931818181818177</v>
      </c>
      <c r="F42" s="43">
        <f>COUNTIFS(Result_set,INDEX(New_Result_set,$B$4),measure,"CAS Attainment 8",Pupil_Premium,"&lt;&gt;T")</f>
        <v>153</v>
      </c>
      <c r="G42" s="42">
        <f>IFERROR(SUMIFS(Result,Pupil_Premium,"&lt;&gt;T",measure,"CAS Attainment 8",Result_set,INDEX(New_Result_set,$B$4))*10/F42,"")</f>
        <v>41.153594771241842</v>
      </c>
      <c r="H42" s="56">
        <v>51.19</v>
      </c>
      <c r="I42" s="32">
        <f>COUNTIFS(Result_set,INDEX(New_Result_set,$B$4),measure,"CAS Attainment En",Pupil_Premium,"&lt;&gt;T")</f>
        <v>153</v>
      </c>
      <c r="J42" s="37">
        <f>IFERROR(SUMIFS(Result,Pupil_Premium,"&lt;&gt;T",measure,"CAS Attainment En",Result_set,INDEX(New_Result_set,$B$4))/I42,"")</f>
        <v>9.1372549019607838</v>
      </c>
      <c r="K42" s="59">
        <v>10.87</v>
      </c>
      <c r="L42" s="36">
        <f>COUNTIFS(Result_set,INDEX(New_Result_set,$B$4),measure,"CAS Attainment Ma",Pupil_Premium,"&lt;&gt;T")</f>
        <v>153</v>
      </c>
      <c r="M42" s="35">
        <f>IFERROR(SUMIFS(Result,Pupil_Premium,"&lt;&gt;T",measure,"CAS Attainment Ma",Result_set,INDEX(New_Result_set,$B$4))/L42,"")</f>
        <v>8.5882352941176467</v>
      </c>
      <c r="N42" s="58">
        <v>10.32</v>
      </c>
      <c r="O42" s="43">
        <f>COUNTIFS(Result_set,INDEX(New_Result_set,$B$4),measure,"CAS Attainment Ebacc",Pupil_Premium,"&lt;&gt;T")</f>
        <v>153</v>
      </c>
      <c r="P42" s="42">
        <f>IFERROR(SUMIFS(Result,Pupil_Premium,"&lt;&gt;T",measure,"CAS Attainment Ebacc",Result_set,INDEX(New_Result_set,$B$4))/O42,"")</f>
        <v>11.297385620915033</v>
      </c>
      <c r="Q42" s="57">
        <v>13.83</v>
      </c>
      <c r="R42" s="32">
        <f>COUNTIFS(Result_set,INDEX(New_Result_set,$B$4),measure,"CAS Attainment Open",Pupil_Premium,"&lt;&gt;T")</f>
        <v>153</v>
      </c>
      <c r="S42" s="37">
        <f>IFERROR(SUMIFS(Result,Pupil_Premium,"&lt;&gt;T",measure,"CAS Attainment Open",Result_set,INDEX(New_Result_set,$B$4))/R42,"")</f>
        <v>12.130718954248366</v>
      </c>
      <c r="T42" s="56">
        <v>16.170000000000002</v>
      </c>
      <c r="U42" s="39">
        <f>COUNTIFS(Result_set,INDEX(New_Result_set,$B$4),measure,"CAS Progress 8",Pupil_Premium,"&lt;&gt;T")</f>
        <v>147</v>
      </c>
      <c r="V42" s="38">
        <f>IFERROR(SUMIFS(Result,Pupil_Premium,"&lt;&gt;T",measure,"CAS Progress 8",Result_set,INDEX(New_Result_set,$B$4))/U42,"")</f>
        <v>-2.1972789115646273E-2</v>
      </c>
      <c r="W42" s="32">
        <f>COUNTIFS(Result_set,INDEX(New_Result_set,$B$4),measure,"CAS Progress English",Pupil_Premium,"&lt;&gt;T")</f>
        <v>147</v>
      </c>
      <c r="X42" s="37">
        <f>IFERROR(SUMIFS(Result,Pupil_Premium,"&lt;&gt;T",measure,"CAS Progress English",Result_set,INDEX(New_Result_set,$B$4))/W42,"")</f>
        <v>-0.11238095238095257</v>
      </c>
      <c r="Y42" s="36">
        <f>COUNTIFS(Result_set,INDEX(New_Result_set,$B$4),measure,"CAS Progress Maths",Pupil_Premium,"&lt;&gt;T")</f>
        <v>147</v>
      </c>
      <c r="Z42" s="35">
        <f>IFERROR(SUMIFS(Result,Pupil_Premium,"&lt;&gt;T",measure,"CAS Progress Maths",Result_set,INDEX(New_Result_set,$B$4))/Y42,"")</f>
        <v>0.25156462585034028</v>
      </c>
      <c r="AA42" s="34">
        <f>COUNTIFS(Result_set,INDEX(New_Result_set,$B$4),measure,"CAS Progress Ebacc",Pupil_Premium,"&lt;&gt;T")</f>
        <v>147</v>
      </c>
      <c r="AB42" s="33">
        <f>IFERROR(SUMIFS(Result,Pupil_Premium,"&lt;&gt;T",measure,"CAS Progress Ebacc",Result_set,INDEX(New_Result_set,$B$4))/AA42,"")</f>
        <v>1.4342857142857137</v>
      </c>
      <c r="AC42" s="32">
        <f>COUNTIFS(Result_set,INDEX(New_Result_set,$B$4),measure,"CAS Progress Open",Pupil_Premium,"&lt;&gt;T")</f>
        <v>147</v>
      </c>
      <c r="AD42" s="31">
        <f>IFERROR(SUMIFS(Result,Pupil_Premium,"&lt;&gt;T",measure,"CAS Progress Open",Result_set,INDEX(New_Result_set,$B$4))/AC42,"")</f>
        <v>-1.9279591836734642</v>
      </c>
    </row>
    <row r="43" spans="3:40" ht="18" x14ac:dyDescent="0.25">
      <c r="C43" s="66" t="s">
        <v>349</v>
      </c>
      <c r="D43" s="54" t="s">
        <v>336</v>
      </c>
      <c r="E43" s="65">
        <f>IFERROR(ABS(E41-E42),"")</f>
        <v>0.73863636363636354</v>
      </c>
      <c r="F43" s="54"/>
      <c r="G43" s="64">
        <f>IFERROR(ABS(G41-G42),"")</f>
        <v>6.1507530548451257</v>
      </c>
      <c r="H43" s="64">
        <f>IFERROR(ABS(H41-H42),"")</f>
        <v>0</v>
      </c>
      <c r="I43" s="54"/>
      <c r="J43" s="64">
        <f>IFERROR(ABS(J41-J42),"")</f>
        <v>0.94970161977834699</v>
      </c>
      <c r="K43" s="64">
        <f>IFERROR(ABS(K41-K42),"")</f>
        <v>0</v>
      </c>
      <c r="L43" s="54"/>
      <c r="M43" s="64">
        <f>IFERROR(ABS(M41-M42),"")</f>
        <v>1.8465473145780056</v>
      </c>
      <c r="N43" s="64">
        <f>IFERROR(ABS(N41-N42),"")</f>
        <v>0</v>
      </c>
      <c r="O43" s="54"/>
      <c r="P43" s="64">
        <f>IFERROR(ABS(P41-P42),"")</f>
        <v>2.1156578573458358</v>
      </c>
      <c r="Q43" s="64">
        <f>IFERROR(ABS(Q41-Q42),"")</f>
        <v>0</v>
      </c>
      <c r="R43" s="54"/>
      <c r="S43" s="64">
        <f>IFERROR(ABS(S41-S42),"")</f>
        <v>1.2388462631429391</v>
      </c>
      <c r="T43" s="63">
        <f>IFERROR(ABS(T41-T42),"")</f>
        <v>0</v>
      </c>
      <c r="U43" s="54"/>
      <c r="V43" s="64">
        <f>IFERROR(ABS(V41-V42),"")</f>
        <v>0.46136054421768707</v>
      </c>
      <c r="W43" s="54"/>
      <c r="X43" s="64">
        <f>IFERROR(ABS(X41-X42),"")</f>
        <v>0.41523809523809507</v>
      </c>
      <c r="Y43" s="54"/>
      <c r="Z43" s="64">
        <f>IFERROR(ABS(Z41-Z42),"")</f>
        <v>0.2601360544217689</v>
      </c>
      <c r="AA43" s="54"/>
      <c r="AB43" s="64">
        <f>IFERROR(ABS(AB41-AB42),"")</f>
        <v>2.1366666666666663</v>
      </c>
      <c r="AC43" s="54"/>
      <c r="AD43" s="63">
        <f>IFERROR(ABS(AD41-AD42),"")</f>
        <v>1.1315646258503451</v>
      </c>
    </row>
    <row r="44" spans="3:40" ht="18" x14ac:dyDescent="0.25">
      <c r="C44" s="61" t="s">
        <v>348</v>
      </c>
      <c r="D44" s="36">
        <f>COUNTIFS(Result_set,INDEX(New_Result_set,$B$4),measure,"CAS Attainment 8",InCare,"T")</f>
        <v>1</v>
      </c>
      <c r="E44" s="45">
        <f>IFERROR(D44/$D$2,"")</f>
        <v>5.681818181818182E-3</v>
      </c>
      <c r="F44" s="43">
        <f>COUNTIFS(Result_set,INDEX(New_Result_set,$B$4),measure,"CAS Attainment 8",InCare,"T")</f>
        <v>1</v>
      </c>
      <c r="G44" s="42">
        <f>IFERROR(SUMIFS(Result,InCare,"T",measure,"CAS Attainment 8",Result_set,INDEX(New_Result_set,$B$4))*10/F44,"")</f>
        <v>38.5</v>
      </c>
      <c r="H44" s="56">
        <v>47.99</v>
      </c>
      <c r="I44" s="32">
        <f>COUNTIFS(Result_set,INDEX(New_Result_set,$B$4),measure,"CAS Attainment En",InCare,"T")</f>
        <v>1</v>
      </c>
      <c r="J44" s="37">
        <f>IFERROR(SUMIFS(Result,InCare,"T",measure,"CAS Attainment En",Result_set,INDEX(New_Result_set,$B$4))/I44,"")</f>
        <v>10</v>
      </c>
      <c r="K44" s="59">
        <v>10.36</v>
      </c>
      <c r="L44" s="36">
        <f>COUNTIFS(Result_set,INDEX(New_Result_set,$B$4),measure,"CAS Attainment Ma",InCare,"T")</f>
        <v>1</v>
      </c>
      <c r="M44" s="35">
        <f>IFERROR(SUMIFS(Result,InCare,"T",measure,"CAS Attainment Ma",Result_set,INDEX(New_Result_set,$B$4))/L44,"")</f>
        <v>6</v>
      </c>
      <c r="N44" s="58">
        <v>9.68</v>
      </c>
      <c r="O44" s="43">
        <f>COUNTIFS(Result_set,INDEX(New_Result_set,$B$4),measure,"CAS Attainment Ebacc",InCare,"T")</f>
        <v>1</v>
      </c>
      <c r="P44" s="42">
        <f>IFERROR(SUMIFS(Result,InCare,"T",measure,"CAS Attainment Ebacc",Result_set,INDEX(New_Result_set,$B$4))/O44,"")</f>
        <v>10</v>
      </c>
      <c r="Q44" s="57">
        <v>12.59</v>
      </c>
      <c r="R44" s="32">
        <f>COUNTIFS(Result_set,INDEX(New_Result_set,$B$4),measure,"CAS Attainment Open",InCare,"T")</f>
        <v>1</v>
      </c>
      <c r="S44" s="37">
        <f>IFERROR(SUMIFS(Result,InCare,"T",measure,"CAS Attainment Open",Result_set,INDEX(New_Result_set,$B$4))/R44,"")</f>
        <v>12.5</v>
      </c>
      <c r="T44" s="56">
        <v>15.3</v>
      </c>
      <c r="U44" s="39">
        <f>COUNTIFS(Result_set,INDEX(New_Result_set,$B$4),measure,"CAS Progress 8",InCare,"T")</f>
        <v>1</v>
      </c>
      <c r="V44" s="38">
        <f>IFERROR(SUMIFS(Result,InCare,"T",measure,"CAS Progress 8",Result_set,INDEX(New_Result_set,$B$4))/U44,"")</f>
        <v>1.02</v>
      </c>
      <c r="W44" s="32">
        <f>COUNTIFS(Result_set,INDEX(New_Result_set,$B$4),measure,"CAS Progress English",InCare,"T")</f>
        <v>1</v>
      </c>
      <c r="X44" s="37">
        <f>IFERROR(SUMIFS(Result,InCare,"T",measure,"CAS Progress English",Result_set,INDEX(New_Result_set,$B$4))/W44,"")</f>
        <v>1.34</v>
      </c>
      <c r="Y44" s="36">
        <f>COUNTIFS(Result_set,INDEX(New_Result_set,$B$4),measure,"CAS Progress Maths",InCare,"T")</f>
        <v>1</v>
      </c>
      <c r="Z44" s="35">
        <f>IFERROR(SUMIFS(Result,InCare,"T",measure,"CAS Progress Maths",Result_set,INDEX(New_Result_set,$B$4))/Y44,"")</f>
        <v>0.39</v>
      </c>
      <c r="AA44" s="34">
        <f>COUNTIFS(Result_set,INDEX(New_Result_set,$B$4),measure,"CAS Progress Ebacc",InCare,"T")</f>
        <v>1</v>
      </c>
      <c r="AB44" s="33">
        <f>IFERROR(SUMIFS(Result,InCare,"T",measure,"CAS Progress Ebacc",Result_set,INDEX(New_Result_set,$B$4))/AA44,"")</f>
        <v>5.49</v>
      </c>
      <c r="AC44" s="32">
        <f>COUNTIFS(Result_set,INDEX(New_Result_set,$B$4),measure,"CAS Progress Open",InCare,"T")</f>
        <v>1</v>
      </c>
      <c r="AD44" s="62">
        <f>IFERROR(SUMIFS(Result,InCare,"T",measure,"CAS Progress Open",Result_set,INDEX(New_Result_set,$B$4))/AC44,"")</f>
        <v>1.3</v>
      </c>
    </row>
    <row r="45" spans="3:40" ht="18" x14ac:dyDescent="0.25">
      <c r="C45" s="61" t="s">
        <v>347</v>
      </c>
      <c r="D45" s="36">
        <f>COUNTIFS(Result_set,INDEX(New_Result_set,$B$4),measure,"CAS Attainment 8",FSM_6,"T")</f>
        <v>23</v>
      </c>
      <c r="E45" s="45">
        <f>IFERROR(D45/$D$2,"")</f>
        <v>0.13068181818181818</v>
      </c>
      <c r="F45" s="43">
        <f>COUNTIFS(Result_set,INDEX(New_Result_set,$B$4),measure,"CAS Attainment 8",FSM_6,"T")</f>
        <v>23</v>
      </c>
      <c r="G45" s="42">
        <f>IFERROR(SUMIFS(Result,FSM_6,"T",measure,"CAS Attainment 8",Result_set,INDEX(New_Result_set,$B$4))*10/F45,"")</f>
        <v>47.304347826086968</v>
      </c>
      <c r="H45" s="56">
        <v>51.02</v>
      </c>
      <c r="I45" s="32">
        <f>COUNTIFS(Result_set,INDEX(New_Result_set,$B$4),measure,"CAS Attainment En",FSM_6,"T")</f>
        <v>23</v>
      </c>
      <c r="J45" s="37">
        <f>IFERROR(SUMIFS(Result,FSM_6,"T",measure,"CAS Attainment En",Result_set,INDEX(New_Result_set,$B$4))/I45,"")</f>
        <v>10.086956521739131</v>
      </c>
      <c r="K45" s="59">
        <v>10.84</v>
      </c>
      <c r="L45" s="36">
        <f>COUNTIFS(Result_set,INDEX(New_Result_set,$B$4),measure,"CAS Attainment Ma",FSM_6,"T")</f>
        <v>23</v>
      </c>
      <c r="M45" s="35">
        <f>IFERROR(SUMIFS(Result,FSM_6,"T",measure,"CAS Attainment Ma",Result_set,INDEX(New_Result_set,$B$4))/L45,"")</f>
        <v>10.434782608695652</v>
      </c>
      <c r="N45" s="58">
        <v>10.29</v>
      </c>
      <c r="O45" s="43">
        <f>COUNTIFS(Result_set,INDEX(New_Result_set,$B$4),measure,"CAS Attainment Ebacc",FSM_6,"T")</f>
        <v>23</v>
      </c>
      <c r="P45" s="42">
        <f>IFERROR(SUMIFS(Result,FSM_6,"T",measure,"CAS Attainment Ebacc",Result_set,INDEX(New_Result_set,$B$4))/O45,"")</f>
        <v>13.413043478260869</v>
      </c>
      <c r="Q45" s="57">
        <v>13.77</v>
      </c>
      <c r="R45" s="32">
        <f>COUNTIFS(Result_set,INDEX(New_Result_set,$B$4),measure,"CAS Attainment Open",FSM_6,"T")</f>
        <v>23</v>
      </c>
      <c r="S45" s="37">
        <f>IFERROR(SUMIFS(Result,FSM_6,"T",measure,"CAS Attainment Open",Result_set,INDEX(New_Result_set,$B$4))/R45,"")</f>
        <v>13.369565217391305</v>
      </c>
      <c r="T45" s="56">
        <v>16.12</v>
      </c>
      <c r="U45" s="39">
        <f>COUNTIFS(Result_set,INDEX(New_Result_set,$B$4),measure,"CAS Progress 8",FSM_6,"T")</f>
        <v>21</v>
      </c>
      <c r="V45" s="38">
        <f>IFERROR(SUMIFS(Result,FSM_6,"T",measure,"CAS Progress 8",Result_set,INDEX(New_Result_set,$B$4))/U45,"")</f>
        <v>-0.48333333333333334</v>
      </c>
      <c r="W45" s="32">
        <f>COUNTIFS(Result_set,INDEX(New_Result_set,$B$4),measure,"CAS Progress English",FSM_6,"T")</f>
        <v>21</v>
      </c>
      <c r="X45" s="37">
        <f>IFERROR(SUMIFS(Result,FSM_6,"T",measure,"CAS Progress English",Result_set,INDEX(New_Result_set,$B$4))/W45,"")</f>
        <v>-0.52761904761904765</v>
      </c>
      <c r="Y45" s="36">
        <f>COUNTIFS(Result_set,INDEX(New_Result_set,$B$4),measure,"CAS Progress Maths",FSM_6,"T")</f>
        <v>21</v>
      </c>
      <c r="Z45" s="35">
        <f>IFERROR(SUMIFS(Result,FSM_6,"T",measure,"CAS Progress Maths",Result_set,INDEX(New_Result_set,$B$4))/Y45,"")</f>
        <v>-8.5714285714286326E-3</v>
      </c>
      <c r="AA45" s="34">
        <f>COUNTIFS(Result_set,INDEX(New_Result_set,$B$4),measure,"CAS Progress Ebacc",FSM_6,"T")</f>
        <v>21</v>
      </c>
      <c r="AB45" s="33">
        <f>IFERROR(SUMIFS(Result,FSM_6,"T",measure,"CAS Progress Ebacc",Result_set,INDEX(New_Result_set,$B$4))/AA45,"")</f>
        <v>-0.70238095238095266</v>
      </c>
      <c r="AC45" s="32">
        <f>COUNTIFS(Result_set,INDEX(New_Result_set,$B$4),measure,"CAS Progress Open",FSM_6,"T")</f>
        <v>21</v>
      </c>
      <c r="AD45" s="62">
        <f>IFERROR(SUMIFS(Result,FSM_6,"T",measure,"CAS Progress Open",Result_set,INDEX(New_Result_set,$B$4))/AC45,"")</f>
        <v>-3.0595238095238093</v>
      </c>
    </row>
    <row r="46" spans="3:40" ht="18" x14ac:dyDescent="0.25">
      <c r="C46" s="61" t="s">
        <v>346</v>
      </c>
      <c r="D46" s="36">
        <f>COUNTIFS(Result_set,INDEX(New_Result_set,$B$4),measure,"CAS Attainment 8",Prior_attainment,"L")</f>
        <v>64</v>
      </c>
      <c r="E46" s="45">
        <f>IFERROR(D46/$D$2,"")</f>
        <v>0.36363636363636365</v>
      </c>
      <c r="F46" s="43">
        <f>COUNTIFS(Result_set,INDEX(New_Result_set,$B$4),measure,"CAS Attainment 8",Prior_attainment,"L")</f>
        <v>64</v>
      </c>
      <c r="G46" s="42">
        <f>IFERROR(SUMIFS(Result,Prior_attainment,"L",measure,"CAS Attainment 8",Result_set,INDEX(New_Result_set,$B$4))*10/F46,"")</f>
        <v>28.812499999999986</v>
      </c>
      <c r="H46" s="56">
        <v>25.35</v>
      </c>
      <c r="I46" s="32">
        <f>COUNTIFS(Result_set,INDEX(New_Result_set,$B$4),measure,"CAS Attainment En",Prior_attainment,"L")</f>
        <v>64</v>
      </c>
      <c r="J46" s="37">
        <f>IFERROR(SUMIFS(Result,Prior_attainment,"L",measure,"CAS Attainment En",Result_set,INDEX(New_Result_set,$B$4))/I46,"")</f>
        <v>7.125</v>
      </c>
      <c r="K46" s="59">
        <v>6.51</v>
      </c>
      <c r="L46" s="36">
        <f>COUNTIFS(Result_set,INDEX(New_Result_set,$B$4),measure,"CAS Attainment Ma",Prior_attainment,"L")</f>
        <v>64</v>
      </c>
      <c r="M46" s="35">
        <f>IFERROR(SUMIFS(Result,Prior_attainment,"L",measure,"CAS Attainment Ma",Result_set,INDEX(New_Result_set,$B$4))/L46,"")</f>
        <v>5.625</v>
      </c>
      <c r="N46" s="58">
        <v>4.68</v>
      </c>
      <c r="O46" s="43">
        <f>COUNTIFS(Result_set,INDEX(New_Result_set,$B$4),measure,"CAS Attainment Ebacc",Prior_attainment,"L")</f>
        <v>64</v>
      </c>
      <c r="P46" s="42">
        <f>IFERROR(SUMIFS(Result,Prior_attainment,"L",measure,"CAS Attainment Ebacc",Result_set,INDEX(New_Result_set,$B$4))/O46,"")</f>
        <v>7.140625</v>
      </c>
      <c r="Q46" s="57">
        <v>4.2</v>
      </c>
      <c r="R46" s="32">
        <f>COUNTIFS(Result_set,INDEX(New_Result_set,$B$4),measure,"CAS Attainment Open",Prior_attainment,"L")</f>
        <v>64</v>
      </c>
      <c r="S46" s="37">
        <f>IFERROR(SUMIFS(Result,Prior_attainment,"L",measure,"CAS Attainment Open",Result_set,INDEX(New_Result_set,$B$4))/R46,"")</f>
        <v>8.921875</v>
      </c>
      <c r="T46" s="56">
        <v>9.9600000000000009</v>
      </c>
      <c r="U46" s="39">
        <f>COUNTIFS(Result_set,INDEX(New_Result_set,$B$4),measure,"CAS Progress 8",Prior_attainment,"L")</f>
        <v>64</v>
      </c>
      <c r="V46" s="38">
        <f>IFERROR(SUMIFS(Result,Prior_attainment,"L",measure,"CAS Progress 8",Result_set,INDEX(New_Result_set,$B$4))/U46,"")</f>
        <v>0.34343750000000001</v>
      </c>
      <c r="W46" s="32">
        <f>COUNTIFS(Result_set,INDEX(New_Result_set,$B$4),measure,"CAS Progress English",Prior_attainment,"L")</f>
        <v>64</v>
      </c>
      <c r="X46" s="37">
        <f>IFERROR(SUMIFS(Result,Prior_attainment,"L",measure,"CAS Progress English",Result_set,INDEX(New_Result_set,$B$4))/W46,"")</f>
        <v>0.22499999999999995</v>
      </c>
      <c r="Y46" s="36">
        <f>COUNTIFS(Result_set,INDEX(New_Result_set,$B$4),measure,"CAS Progress Maths",Prior_attainment,"L")</f>
        <v>64</v>
      </c>
      <c r="Z46" s="35">
        <f>IFERROR(SUMIFS(Result,Prior_attainment,"L",measure,"CAS Progress Maths",Result_set,INDEX(New_Result_set,$B$4))/Y46,"")</f>
        <v>0.60812500000000025</v>
      </c>
      <c r="AA46" s="34">
        <f>COUNTIFS(Result_set,INDEX(New_Result_set,$B$4),measure,"CAS Progress Ebacc",Prior_attainment,"L")</f>
        <v>64</v>
      </c>
      <c r="AB46" s="33">
        <f>IFERROR(SUMIFS(Result,Prior_attainment,"L",measure,"CAS Progress Ebacc",Result_set,INDEX(New_Result_set,$B$4))/AA46,"")</f>
        <v>3.2437500000000004</v>
      </c>
      <c r="AC46" s="32">
        <f>COUNTIFS(Result_set,INDEX(New_Result_set,$B$4),measure,"CAS Progress Open",Prior_attainment,"L")</f>
        <v>64</v>
      </c>
      <c r="AD46" s="31">
        <f>IFERROR(SUMIFS(Result,Prior_attainment,"L",measure,"CAS Progress Open",Result_set,INDEX(New_Result_set,$B$4))/AC46,"")</f>
        <v>-1.454687500000001</v>
      </c>
    </row>
    <row r="47" spans="3:40" ht="18" x14ac:dyDescent="0.25">
      <c r="C47" s="61" t="s">
        <v>345</v>
      </c>
      <c r="D47" s="36">
        <f>COUNTIFS(Result_set,INDEX(New_Result_set,$B$4),measure,"CAS Attainment 8",Prior_attainment,"M")</f>
        <v>59</v>
      </c>
      <c r="E47" s="45">
        <f>IFERROR(D47/$D$2,"")</f>
        <v>0.33522727272727271</v>
      </c>
      <c r="F47" s="43">
        <f>COUNTIFS(Result_set,INDEX(New_Result_set,$B$4),measure,"CAS Attainment 8",Prior_attainment,"M")</f>
        <v>59</v>
      </c>
      <c r="G47" s="42">
        <f>IFERROR(SUMIFS(Result,Prior_attainment,"M",measure,"CAS Attainment 8",Result_set,INDEX(New_Result_set,$B$4))*10/F47,"")</f>
        <v>44.466101694915253</v>
      </c>
      <c r="H47" s="56">
        <v>46.21</v>
      </c>
      <c r="I47" s="32">
        <f>COUNTIFS(Result_set,INDEX(New_Result_set,$B$4),measure,"CAS Attainment En",Prior_attainment,"M")</f>
        <v>59</v>
      </c>
      <c r="J47" s="37">
        <f>IFERROR(SUMIFS(Result,Prior_attainment,"M",measure,"CAS Attainment En",Result_set,INDEX(New_Result_set,$B$4))/I47,"")</f>
        <v>9.6271186440677958</v>
      </c>
      <c r="K47" s="59">
        <v>10.199999999999999</v>
      </c>
      <c r="L47" s="36">
        <f>COUNTIFS(Result_set,INDEX(New_Result_set,$B$4),measure,"CAS Attainment Ma",Prior_attainment,"M")</f>
        <v>59</v>
      </c>
      <c r="M47" s="35">
        <f>IFERROR(SUMIFS(Result,Prior_attainment,"M",measure,"CAS Attainment Ma",Result_set,INDEX(New_Result_set,$B$4))/L47,"")</f>
        <v>9.9322033898305087</v>
      </c>
      <c r="N47" s="58">
        <v>9.39</v>
      </c>
      <c r="O47" s="43">
        <f>COUNTIFS(Result_set,INDEX(New_Result_set,$B$4),measure,"CAS Attainment Ebacc",Prior_attainment,"M")</f>
        <v>59</v>
      </c>
      <c r="P47" s="42">
        <f>IFERROR(SUMIFS(Result,Prior_attainment,"M",measure,"CAS Attainment Ebacc",Result_set,INDEX(New_Result_set,$B$4))/O47,"")</f>
        <v>12.228813559322035</v>
      </c>
      <c r="Q47" s="57">
        <v>11.62</v>
      </c>
      <c r="R47" s="32">
        <f>COUNTIFS(Result_set,INDEX(New_Result_set,$B$4),measure,"CAS Attainment Open",Prior_attainment,"M")</f>
        <v>59</v>
      </c>
      <c r="S47" s="37">
        <f>IFERROR(SUMIFS(Result,Prior_attainment,"M",measure,"CAS Attainment Open",Result_set,INDEX(New_Result_set,$B$4))/R47,"")</f>
        <v>12.677966101694915</v>
      </c>
      <c r="T47" s="56">
        <v>15</v>
      </c>
      <c r="U47" s="39">
        <f>COUNTIFS(Result_set,INDEX(New_Result_set,$B$4),measure,"CAS Progress 8",Prior_attainment,"M")</f>
        <v>59</v>
      </c>
      <c r="V47" s="38">
        <f>IFERROR(SUMIFS(Result,Prior_attainment,"M",measure,"CAS Progress 8",Result_set,INDEX(New_Result_set,$B$4))/U47,"")</f>
        <v>8.1355932203390196E-3</v>
      </c>
      <c r="W47" s="32">
        <f>COUNTIFS(Result_set,INDEX(New_Result_set,$B$4),measure,"CAS Progress English",Prior_attainment,"M")</f>
        <v>59</v>
      </c>
      <c r="X47" s="37">
        <f>IFERROR(SUMIFS(Result,Prior_attainment,"M",measure,"CAS Progress English",Result_set,INDEX(New_Result_set,$B$4))/W47,"")</f>
        <v>-0.14983050847457649</v>
      </c>
      <c r="Y47" s="36">
        <f>COUNTIFS(Result_set,INDEX(New_Result_set,$B$4),measure,"CAS Progress Maths",Prior_attainment,"M")</f>
        <v>59</v>
      </c>
      <c r="Z47" s="35">
        <f>IFERROR(SUMIFS(Result,Prior_attainment,"M",measure,"CAS Progress Maths",Result_set,INDEX(New_Result_set,$B$4))/Y47,"")</f>
        <v>0.44237288135593195</v>
      </c>
      <c r="AA47" s="34">
        <f>COUNTIFS(Result_set,INDEX(New_Result_set,$B$4),measure,"CAS Progress Ebacc",Prior_attainment,"M")</f>
        <v>59</v>
      </c>
      <c r="AB47" s="33">
        <f>IFERROR(SUMIFS(Result,Prior_attainment,"M",measure,"CAS Progress Ebacc",Result_set,INDEX(New_Result_set,$B$4))/AA47,"")</f>
        <v>1.4522033898305087</v>
      </c>
      <c r="AC47" s="32">
        <f>COUNTIFS(Result_set,INDEX(New_Result_set,$B$4),measure,"CAS Progress Open",Prior_attainment,"M")</f>
        <v>59</v>
      </c>
      <c r="AD47" s="31">
        <f>IFERROR(SUMIFS(Result,Prior_attainment,"M",measure,"CAS Progress Open",Result_set,INDEX(New_Result_set,$B$4))/AC47,"")</f>
        <v>-1.9783050847457635</v>
      </c>
    </row>
    <row r="48" spans="3:40" ht="18" x14ac:dyDescent="0.25">
      <c r="C48" s="61" t="s">
        <v>344</v>
      </c>
      <c r="D48" s="36">
        <f>COUNTIFS(Result_set,INDEX(New_Result_set,$B$4),measure,"CAS Attainment 8",Prior_attainment,"H")</f>
        <v>53</v>
      </c>
      <c r="E48" s="45">
        <f>IFERROR(D48/$D$2,"")</f>
        <v>0.30113636363636365</v>
      </c>
      <c r="F48" s="43">
        <f>COUNTIFS(Result_set,INDEX(New_Result_set,$B$4),measure,"CAS Attainment 8",Prior_attainment,"H")</f>
        <v>53</v>
      </c>
      <c r="G48" s="42">
        <f>IFERROR(SUMIFS(Result,Prior_attainment,"H",measure,"CAS Attainment 8",Result_set,INDEX(New_Result_set,$B$4))*10/F48,"")</f>
        <v>55.03773584905661</v>
      </c>
      <c r="H48" s="56">
        <v>62.42</v>
      </c>
      <c r="I48" s="32">
        <f>COUNTIFS(Result_set,INDEX(New_Result_set,$B$4),measure,"CAS Attainment En",Prior_attainment,"H")</f>
        <v>53</v>
      </c>
      <c r="J48" s="37">
        <f>IFERROR(SUMIFS(Result,Prior_attainment,"H",measure,"CAS Attainment En",Result_set,INDEX(New_Result_set,$B$4))/I48,"")</f>
        <v>11.433962264150944</v>
      </c>
      <c r="K48" s="59">
        <v>12.74</v>
      </c>
      <c r="L48" s="36">
        <f>COUNTIFS(Result_set,INDEX(New_Result_set,$B$4),measure,"CAS Attainment Ma",Prior_attainment,"H")</f>
        <v>53</v>
      </c>
      <c r="M48" s="35">
        <f>IFERROR(SUMIFS(Result,Prior_attainment,"H",measure,"CAS Attainment Ma",Result_set,INDEX(New_Result_set,$B$4))/L48,"")</f>
        <v>11.471698113207546</v>
      </c>
      <c r="N48" s="58">
        <v>12.69</v>
      </c>
      <c r="O48" s="43">
        <f>COUNTIFS(Result_set,INDEX(New_Result_set,$B$4),measure,"CAS Attainment Ebacc",Prior_attainment,"H")</f>
        <v>53</v>
      </c>
      <c r="P48" s="42">
        <f>IFERROR(SUMIFS(Result,Prior_attainment,"H",measure,"CAS Attainment Ebacc",Result_set,INDEX(New_Result_set,$B$4))/O48,"")</f>
        <v>16.19811320754717</v>
      </c>
      <c r="Q48" s="57">
        <v>18.18</v>
      </c>
      <c r="R48" s="32">
        <f>COUNTIFS(Result_set,INDEX(New_Result_set,$B$4),measure,"CAS Attainment Open",Prior_attainment,"H")</f>
        <v>53</v>
      </c>
      <c r="S48" s="37">
        <f>IFERROR(SUMIFS(Result,Prior_attainment,"H",measure,"CAS Attainment Open",Result_set,INDEX(New_Result_set,$B$4))/R48,"")</f>
        <v>15.933962264150944</v>
      </c>
      <c r="T48" s="56">
        <v>18.809999999999999</v>
      </c>
      <c r="U48" s="39">
        <f>COUNTIFS(Result_set,INDEX(New_Result_set,$B$4),measure,"CAS Progress 8",Prior_attainment,"H")</f>
        <v>45</v>
      </c>
      <c r="V48" s="38">
        <f>IFERROR(SUMIFS(Result,Prior_attainment,"H",measure,"CAS Progress 8",Result_set,INDEX(New_Result_set,$B$4))/U48,"")</f>
        <v>-0.79644444444444451</v>
      </c>
      <c r="W48" s="32">
        <f>COUNTIFS(Result_set,INDEX(New_Result_set,$B$4),measure,"CAS Progress English",Prior_attainment,"H")</f>
        <v>45</v>
      </c>
      <c r="X48" s="37">
        <f>IFERROR(SUMIFS(Result,Prior_attainment,"H",measure,"CAS Progress English",Result_set,INDEX(New_Result_set,$B$4))/W48,"")</f>
        <v>-0.73688888888888926</v>
      </c>
      <c r="Y48" s="36">
        <f>COUNTIFS(Result_set,INDEX(New_Result_set,$B$4),measure,"CAS Progress Maths",Prior_attainment,"H")</f>
        <v>45</v>
      </c>
      <c r="Z48" s="35">
        <f>IFERROR(SUMIFS(Result,Prior_attainment,"H",measure,"CAS Progress Maths",Result_set,INDEX(New_Result_set,$B$4))/Y48,"")</f>
        <v>-0.62711111111111095</v>
      </c>
      <c r="AA48" s="34">
        <f>COUNTIFS(Result_set,INDEX(New_Result_set,$B$4),measure,"CAS Progress Ebacc",Prior_attainment,"H")</f>
        <v>45</v>
      </c>
      <c r="AB48" s="33">
        <f>IFERROR(SUMIFS(Result,Prior_attainment,"H",measure,"CAS Progress Ebacc",Result_set,INDEX(New_Result_set,$B$4))/AA48,"")</f>
        <v>-2.159777777777776</v>
      </c>
      <c r="AC48" s="32">
        <f>COUNTIFS(Result_set,INDEX(New_Result_set,$B$4),measure,"CAS Progress Open",Prior_attainment,"H")</f>
        <v>45</v>
      </c>
      <c r="AD48" s="31">
        <f>IFERROR(SUMIFS(Result,Prior_attainment,"H",measure,"CAS Progress Open",Result_set,INDEX(New_Result_set,$B$4))/AC48,"")</f>
        <v>-3.063111111111112</v>
      </c>
    </row>
    <row r="49" spans="3:30" ht="18" x14ac:dyDescent="0.25">
      <c r="C49" s="61" t="s">
        <v>5</v>
      </c>
      <c r="D49" s="36">
        <f>COUNTIFS(Result_set,INDEX(New_Result_set,$B$4),measure,"CAS Attainment 8",EAL,"yes")</f>
        <v>27</v>
      </c>
      <c r="E49" s="45">
        <f>IFERROR(D49/$D$2,"")</f>
        <v>0.15340909090909091</v>
      </c>
      <c r="F49" s="43">
        <f>COUNTIFS(Result_set,INDEX(New_Result_set,$B$4),measure,"CAS Attainment 8",EAL,"yes")</f>
        <v>27</v>
      </c>
      <c r="G49" s="42">
        <f>IFERROR(SUMIFS(Result,EAL,"yes",measure,"CAS Attainment 8",Result_set,INDEX(New_Result_set,$B$4))*10/F49,"")</f>
        <v>42.888888888888886</v>
      </c>
      <c r="H49" s="56">
        <v>47.78</v>
      </c>
      <c r="I49" s="32">
        <f>COUNTIFS(Result_set,INDEX(New_Result_set,$B$4),measure,"CAS Attainment En",EAL,"yes")</f>
        <v>27</v>
      </c>
      <c r="J49" s="37">
        <f>IFERROR(SUMIFS(Result,EAL,"yes",measure,"CAS Attainment En",Result_set,INDEX(New_Result_set,$B$4))/I49,"")</f>
        <v>9.1111111111111107</v>
      </c>
      <c r="K49" s="59">
        <v>10.32</v>
      </c>
      <c r="L49" s="36">
        <f>COUNTIFS(Result_set,INDEX(New_Result_set,$B$4),measure,"CAS Attainment Ma",EAL,"yes")</f>
        <v>27</v>
      </c>
      <c r="M49" s="35">
        <f>IFERROR(SUMIFS(Result,EAL,"yes",measure,"CAS Attainment Ma",Result_set,INDEX(New_Result_set,$B$4))/L49,"")</f>
        <v>9.3333333333333339</v>
      </c>
      <c r="N49" s="58">
        <v>9.64</v>
      </c>
      <c r="O49" s="43">
        <f>COUNTIFS(Result_set,INDEX(New_Result_set,$B$4),measure,"CAS Attainment Ebacc",EAL,"yes")</f>
        <v>27</v>
      </c>
      <c r="P49" s="42">
        <f>IFERROR(SUMIFS(Result,EAL,"yes",measure,"CAS Attainment Ebacc",Result_set,INDEX(New_Result_set,$B$4))/O49,"")</f>
        <v>11.851851851851851</v>
      </c>
      <c r="Q49" s="57">
        <v>12.52</v>
      </c>
      <c r="R49" s="32">
        <f>COUNTIFS(Result_set,INDEX(New_Result_set,$B$4),measure,"CAS Attainment Open",EAL,"yes")</f>
        <v>27</v>
      </c>
      <c r="S49" s="37">
        <f>IFERROR(SUMIFS(Result,EAL,"yes",measure,"CAS Attainment Open",Result_set,INDEX(New_Result_set,$B$4))/R49,"")</f>
        <v>12.592592592592593</v>
      </c>
      <c r="T49" s="56">
        <v>15.3</v>
      </c>
      <c r="U49" s="39">
        <f>COUNTIFS(Result_set,INDEX(New_Result_set,$B$4),measure,"CAS Progress 8",EAL,"yes")</f>
        <v>25</v>
      </c>
      <c r="V49" s="38">
        <f>IFERROR(SUMIFS(Result,EAL,"yes",measure,"CAS Progress 8",Result_set,INDEX(New_Result_set,$B$4))/U49,"")</f>
        <v>-0.41720000000000007</v>
      </c>
      <c r="W49" s="32">
        <f>COUNTIFS(Result_set,INDEX(New_Result_set,$B$4),measure,"CAS Progress English",EAL,"yes")</f>
        <v>25</v>
      </c>
      <c r="X49" s="37">
        <f>IFERROR(SUMIFS(Result,EAL,"yes",measure,"CAS Progress English",Result_set,INDEX(New_Result_set,$B$4))/W49,"")</f>
        <v>-0.59760000000000024</v>
      </c>
      <c r="Y49" s="36">
        <f>COUNTIFS(Result_set,INDEX(New_Result_set,$B$4),measure,"CAS Progress Maths",EAL,"yes")</f>
        <v>25</v>
      </c>
      <c r="Z49" s="35">
        <f>IFERROR(SUMIFS(Result,EAL,"yes",measure,"CAS Progress Maths",Result_set,INDEX(New_Result_set,$B$4))/Y49,"")</f>
        <v>3.999999999999515E-4</v>
      </c>
      <c r="AA49" s="34">
        <f>COUNTIFS(Result_set,INDEX(New_Result_set,$B$4),measure,"CAS Progress Ebacc",EAL,"yes")</f>
        <v>25</v>
      </c>
      <c r="AB49" s="33">
        <f>IFERROR(SUMIFS(Result,EAL,"yes",measure,"CAS Progress Ebacc",Result_set,INDEX(New_Result_set,$B$4))/AA49,"")</f>
        <v>-0.23959999999999984</v>
      </c>
      <c r="AC49" s="32">
        <f>COUNTIFS(Result_set,INDEX(New_Result_set,$B$4),measure,"CAS Progress Open",EAL,"yes")</f>
        <v>25</v>
      </c>
      <c r="AD49" s="31">
        <f>IFERROR(SUMIFS(Result,EAL,"yes",measure,"CAS Progress Open",Result_set,INDEX(New_Result_set,$B$4))/AC49,"")</f>
        <v>-2.7420000000000004</v>
      </c>
    </row>
    <row r="50" spans="3:30" ht="18" x14ac:dyDescent="0.25">
      <c r="C50" s="55" t="s">
        <v>343</v>
      </c>
      <c r="D50" s="54" t="s">
        <v>336</v>
      </c>
      <c r="E50" s="53">
        <f>IFERROR(ABS(E37-E49),"")</f>
        <v>0.84659090909090906</v>
      </c>
      <c r="F50" s="50" t="s">
        <v>336</v>
      </c>
      <c r="G50" s="52">
        <f>IFERROR(ABS(G37-G49),"")</f>
        <v>0.93150252525251176</v>
      </c>
      <c r="H50" s="60"/>
      <c r="I50" s="50" t="s">
        <v>336</v>
      </c>
      <c r="J50" s="52">
        <f>IFERROR(ABS(J37-J49),"")</f>
        <v>0.15025252525252597</v>
      </c>
      <c r="K50" s="60"/>
      <c r="L50" s="50" t="s">
        <v>336</v>
      </c>
      <c r="M50" s="52">
        <f>IFERROR(ABS(M37-M49),"")</f>
        <v>0.5037878787878789</v>
      </c>
      <c r="N50" s="60"/>
      <c r="O50" s="50" t="s">
        <v>336</v>
      </c>
      <c r="P50" s="52">
        <f>IFERROR(ABS(P37-P49),"")</f>
        <v>0.27798821548821451</v>
      </c>
      <c r="Q50" s="60"/>
      <c r="R50" s="50" t="s">
        <v>336</v>
      </c>
      <c r="S50" s="52">
        <f>IFERROR(ABS(S37-S49),"")</f>
        <v>0.29997895622895676</v>
      </c>
      <c r="T50" s="60"/>
      <c r="U50" s="50" t="s">
        <v>336</v>
      </c>
      <c r="V50" s="49">
        <f>IFERROR(ABS(V37-V49),"")</f>
        <v>0.33755714285714283</v>
      </c>
      <c r="W50" s="50" t="s">
        <v>336</v>
      </c>
      <c r="X50" s="49">
        <f>IFERROR(ABS(X37-X49),"")</f>
        <v>0.43331428571428554</v>
      </c>
      <c r="Y50" s="50" t="s">
        <v>336</v>
      </c>
      <c r="Z50" s="49">
        <f>IFERROR(ABS(Z37-Z49),"")</f>
        <v>0.21864761904761912</v>
      </c>
      <c r="AA50" s="50" t="s">
        <v>336</v>
      </c>
      <c r="AB50" s="49">
        <f>IFERROR(ABS(AB37-AB49),"")</f>
        <v>1.4068023809523804</v>
      </c>
      <c r="AC50" s="50" t="s">
        <v>336</v>
      </c>
      <c r="AD50" s="49">
        <f>IFERROR(ABS(AD37-AD49),"")</f>
        <v>0.67259523809524335</v>
      </c>
    </row>
    <row r="51" spans="3:30" ht="18" x14ac:dyDescent="0.25">
      <c r="C51" s="48" t="s">
        <v>342</v>
      </c>
      <c r="D51" s="47">
        <f>COUNTIFS(Result_set,INDEX(New_Result_set,$B$4),measure,"CAS Attainment 8",SEN,"E")</f>
        <v>0</v>
      </c>
      <c r="E51" s="45">
        <f>IFERROR(D51/$D$2,"")</f>
        <v>0</v>
      </c>
      <c r="F51" s="43">
        <f>COUNTIFS(Result_set,INDEX(New_Result_set,$B$4),measure,"CAS Attainment 8",SEN,"E")</f>
        <v>0</v>
      </c>
      <c r="G51" s="42" t="str">
        <f>IFERROR(SUMIFS(Result,SEN,"E",measure,"CAS Attainment 8",Result_set,INDEX(New_Result_set,$B$4))*10/F51,"")</f>
        <v/>
      </c>
      <c r="H51" s="56">
        <v>47.78</v>
      </c>
      <c r="I51" s="32">
        <f>COUNTIFS(Result_set,INDEX(New_Result_set,$B$4),measure,"CAS Attainment En",SEN,"E")</f>
        <v>0</v>
      </c>
      <c r="J51" s="37" t="str">
        <f>IFERROR(SUMIFS(Result,SEN,"E",measure,"CAS Attainment En",Result_set,INDEX(New_Result_set,$B$4))/I51,"")</f>
        <v/>
      </c>
      <c r="K51" s="59">
        <v>10.32</v>
      </c>
      <c r="L51" s="36">
        <f>COUNTIFS(Result_set,INDEX(New_Result_set,$B$4),measure,"CAS Attainment Ma",SEN,"E")</f>
        <v>0</v>
      </c>
      <c r="M51" s="35" t="str">
        <f>IFERROR(SUMIFS(Result,SEN,"E",measure,"CAS Attainment Ma",Result_set,INDEX(New_Result_set,$B$4))/L51,"")</f>
        <v/>
      </c>
      <c r="N51" s="58">
        <v>9.64</v>
      </c>
      <c r="O51" s="43">
        <f>COUNTIFS(Result_set,INDEX(New_Result_set,$B$4),measure,"CAS Attainment Ebacc",SEN,"E")</f>
        <v>0</v>
      </c>
      <c r="P51" s="42" t="str">
        <f>IFERROR(SUMIFS(Result,SEN,"E",measure,"CAS Attainment Ebacc",Result_set,INDEX(New_Result_set,$B$4))/O51,"")</f>
        <v/>
      </c>
      <c r="Q51" s="57">
        <v>12.52</v>
      </c>
      <c r="R51" s="32">
        <f>COUNTIFS(Result_set,INDEX(New_Result_set,$B$4),measure,"CAS Attainment Open",SEN,"E")</f>
        <v>0</v>
      </c>
      <c r="S51" s="37" t="str">
        <f>IFERROR(SUMIFS(Result,SEN,"E",measure,"CAS Attainment Open",Result_set,INDEX(New_Result_set,$B$4))/R51,"")</f>
        <v/>
      </c>
      <c r="T51" s="56">
        <v>15.3</v>
      </c>
      <c r="U51" s="39">
        <f>COUNTIFS(Result_set,INDEX(New_Result_set,$B$4),measure,"CAS Progress 8",SEN,"E")</f>
        <v>0</v>
      </c>
      <c r="V51" s="38" t="str">
        <f>IFERROR(SUMIFS(Result,SEN,"E",measure,"CAS Progress 8",Result_set,INDEX(New_Result_set,$B$4))/U51,"")</f>
        <v/>
      </c>
      <c r="W51" s="32">
        <f>COUNTIFS(Result_set,INDEX(New_Result_set,$B$4),measure,"CAS Progress English",SEN,"E")</f>
        <v>0</v>
      </c>
      <c r="X51" s="37" t="str">
        <f>IFERROR(SUMIFS(Result,SEN,"E",measure,"CAS Progress English",Result_set,INDEX(New_Result_set,$B$4))/W51,"")</f>
        <v/>
      </c>
      <c r="Y51" s="36">
        <f>COUNTIFS(Result_set,INDEX(New_Result_set,$B$4),measure,"CAS Progress Maths",SEN,"E")</f>
        <v>0</v>
      </c>
      <c r="Z51" s="35" t="str">
        <f>IFERROR(SUMIFS(Result,SEN,"E",measure,"CAS Progress Maths",Result_set,INDEX(New_Result_set,$B$4))/Y51,"")</f>
        <v/>
      </c>
      <c r="AA51" s="34">
        <f>COUNTIFS(Result_set,INDEX(New_Result_set,$B$4),measure,"CAS Progress Ebacc",SEN,"E")</f>
        <v>0</v>
      </c>
      <c r="AB51" s="33" t="str">
        <f>IFERROR(SUMIFS(Result,SEN,"E",measure,"CAS Progress Ebacc",Result_set,INDEX(New_Result_set,$B$4))/AA51,"")</f>
        <v/>
      </c>
      <c r="AC51" s="32">
        <f>COUNTIFS(Result_set,INDEX(New_Result_set,$B$4),measure,"CAS Progress Open",SEN,"S")</f>
        <v>0</v>
      </c>
      <c r="AD51" s="31" t="str">
        <f>IFERROR(SUMIFS(Result,SEN,"S",measure,"CAS Progress Open",Result_set,INDEX(New_Result_set,$B$4))/AC51,"")</f>
        <v/>
      </c>
    </row>
    <row r="52" spans="3:30" ht="18" x14ac:dyDescent="0.25">
      <c r="C52" s="48" t="s">
        <v>341</v>
      </c>
      <c r="D52" s="47">
        <f>COUNTIFS(Result_set,INDEX(New_Result_set,$B$4),measure,"CAS Attainment 8",SEN,"S")</f>
        <v>0</v>
      </c>
      <c r="E52" s="45">
        <f>IFERROR(D52/$D$2,"")</f>
        <v>0</v>
      </c>
      <c r="F52" s="43">
        <f>COUNTIFS(Result_set,INDEX(New_Result_set,$B$4),measure,"CAS Attainment 8",SEN,"S")</f>
        <v>0</v>
      </c>
      <c r="G52" s="42" t="str">
        <f>IFERROR(SUMIFS(Result,SEN,"S",measure,"CAS Attainment 8",Result_set,INDEX(New_Result_set,$B$4))*10/F52,"")</f>
        <v/>
      </c>
      <c r="H52" s="56">
        <v>47.78</v>
      </c>
      <c r="I52" s="32">
        <f>COUNTIFS(Result_set,INDEX(New_Result_set,$B$4),measure,"CAS Attainment En",SEN,"S")</f>
        <v>0</v>
      </c>
      <c r="J52" s="37" t="str">
        <f>IFERROR(SUMIFS(Result,SEN,"S",measure,"CAS Attainment En",Result_set,INDEX(New_Result_set,$B$4))/I52,"")</f>
        <v/>
      </c>
      <c r="K52" s="59">
        <v>10.32</v>
      </c>
      <c r="L52" s="36">
        <f>COUNTIFS(Result_set,INDEX(New_Result_set,$B$4),measure,"CAS Attainment Ma",SEN,"S")</f>
        <v>0</v>
      </c>
      <c r="M52" s="35" t="str">
        <f>IFERROR(SUMIFS(Result,SEN,"S",measure,"CAS Attainment Ma",Result_set,INDEX(New_Result_set,$B$4))/L52,"")</f>
        <v/>
      </c>
      <c r="N52" s="58">
        <v>9.64</v>
      </c>
      <c r="O52" s="43">
        <f>COUNTIFS(Result_set,INDEX(New_Result_set,$B$4),measure,"CAS Attainment Ebacc",SEN,"S")</f>
        <v>0</v>
      </c>
      <c r="P52" s="42" t="str">
        <f>IFERROR(SUMIFS(Result,SEN,"S",measure,"CAS Attainment Ebacc",Result_set,INDEX(New_Result_set,$B$4))/O52,"")</f>
        <v/>
      </c>
      <c r="Q52" s="57">
        <v>12.52</v>
      </c>
      <c r="R52" s="32">
        <f>COUNTIFS(Result_set,INDEX(New_Result_set,$B$4),measure,"CAS Attainment Open",SEN,"S")</f>
        <v>0</v>
      </c>
      <c r="S52" s="37" t="str">
        <f>IFERROR(SUMIFS(Result,SEN,"S",measure,"CAS Attainment Open",Result_set,INDEX(New_Result_set,$B$4))/R52,"")</f>
        <v/>
      </c>
      <c r="T52" s="56">
        <v>15.3</v>
      </c>
      <c r="U52" s="39">
        <f>COUNTIFS(Result_set,INDEX(New_Result_set,$B$4),measure,"CAS Progress 8",SEN,"S")</f>
        <v>0</v>
      </c>
      <c r="V52" s="38" t="str">
        <f>IFERROR(SUMIFS(Result,SEN,"S",measure,"CAS Progress 8",Result_set,INDEX(New_Result_set,$B$4))/U52,"")</f>
        <v/>
      </c>
      <c r="W52" s="32">
        <f>COUNTIFS(Result_set,INDEX(New_Result_set,$B$4),measure,"CAS Progress English",SEN,"S")</f>
        <v>0</v>
      </c>
      <c r="X52" s="37" t="str">
        <f>IFERROR(SUMIFS(Result,SEN,"S",measure,"CAS Progress English",Result_set,INDEX(New_Result_set,$B$4))/W52,"")</f>
        <v/>
      </c>
      <c r="Y52" s="36">
        <f>COUNTIFS(Result_set,INDEX(New_Result_set,$B$4),measure,"CAS Progress Maths",SEN,"S")</f>
        <v>0</v>
      </c>
      <c r="Z52" s="35" t="str">
        <f>IFERROR(SUMIFS(Result,SEN,"S",measure,"CAS Progress Maths",Result_set,INDEX(New_Result_set,$B$4))/Y52,"")</f>
        <v/>
      </c>
      <c r="AA52" s="34">
        <f>COUNTIFS(Result_set,INDEX(New_Result_set,$B$4),measure,"CAS Progress Ebacc",SEN,"S")</f>
        <v>0</v>
      </c>
      <c r="AB52" s="33" t="str">
        <f>IFERROR(SUMIFS(Result,SEN,"S",measure,"CAS Progress Ebacc",Result_set,INDEX(New_Result_set,$B$4))/AA52,"")</f>
        <v/>
      </c>
      <c r="AC52" s="32">
        <f>COUNTIFS(Result_set,INDEX(New_Result_set,$B$4),measure,"CAS Progress Open",SEN,"S")</f>
        <v>0</v>
      </c>
      <c r="AD52" s="31" t="str">
        <f>IFERROR(SUMIFS(Result,SEN,"S",measure,"CAS Progress Open",Result_set,INDEX(New_Result_set,$B$4))/AC52,"")</f>
        <v/>
      </c>
    </row>
    <row r="53" spans="3:30" ht="18" x14ac:dyDescent="0.25">
      <c r="C53" s="48" t="s">
        <v>340</v>
      </c>
      <c r="D53" s="47">
        <f>COUNTIFS(Result_set,INDEX(New_Result_set,$B$4),measure,"CAS Attainment 8",SEN,"K")</f>
        <v>8</v>
      </c>
      <c r="E53" s="45">
        <f>IFERROR(D53/$D$2,"")</f>
        <v>4.5454545454545456E-2</v>
      </c>
      <c r="F53" s="43">
        <f>COUNTIFS(Result_set,INDEX(New_Result_set,$B$4),measure,"CAS Attainment 8",SEN,"K")</f>
        <v>8</v>
      </c>
      <c r="G53" s="42">
        <f>IFERROR(SUMIFS(Result,SEN,"K",measure,"CAS Attainment 8",Result_set,INDEX(New_Result_set,$B$4))*10/F53,"")</f>
        <v>23.3125</v>
      </c>
      <c r="H53" s="56"/>
      <c r="I53" s="32">
        <f>COUNTIFS(Result_set,INDEX(New_Result_set,$B$4),measure,"CAS Attainment En",SEN,"K")</f>
        <v>8</v>
      </c>
      <c r="J53" s="37">
        <f>IFERROR(SUMIFS(Result,SEN,"K",measure,"CAS Attainment En",Result_set,INDEX(New_Result_set,$B$4))/I53,"")</f>
        <v>5.25</v>
      </c>
      <c r="K53" s="59"/>
      <c r="L53" s="36">
        <f>COUNTIFS(Result_set,INDEX(New_Result_set,$B$4),measure,"CAS Attainment Ma",SEN,"K")</f>
        <v>8</v>
      </c>
      <c r="M53" s="35">
        <f>IFERROR(SUMIFS(Result,SEN,"K",measure,"CAS Attainment Ma",Result_set,INDEX(New_Result_set,$B$4))/L53,"")</f>
        <v>5</v>
      </c>
      <c r="N53" s="58"/>
      <c r="O53" s="43">
        <f>COUNTIFS(Result_set,INDEX(New_Result_set,$B$4),measure,"CAS Attainment Ebacc",SEN,"K")</f>
        <v>8</v>
      </c>
      <c r="P53" s="42">
        <f>IFERROR(SUMIFS(Result,SEN,"K",measure,"CAS Attainment Ebacc",Result_set,INDEX(New_Result_set,$B$4))/O53,"")</f>
        <v>5.75</v>
      </c>
      <c r="Q53" s="57"/>
      <c r="R53" s="32">
        <f>COUNTIFS(Result_set,INDEX(New_Result_set,$B$4),measure,"CAS Attainment Open",SEN,"K")</f>
        <v>8</v>
      </c>
      <c r="S53" s="37">
        <f>IFERROR(SUMIFS(Result,SEN,"K",measure,"CAS Attainment Open",Result_set,INDEX(New_Result_set,$B$4))/R53,"")</f>
        <v>7.3125</v>
      </c>
      <c r="T53" s="56"/>
      <c r="U53" s="39">
        <f>COUNTIFS(Result_set,INDEX(New_Result_set,$B$4),measure,"CAS Progress 8",SEN,"K")</f>
        <v>8</v>
      </c>
      <c r="V53" s="38">
        <f>IFERROR(SUMIFS(Result,SEN,"K",measure,"CAS Progress 8",Result_set,INDEX(New_Result_set,$B$4))/U53,"")</f>
        <v>-0.15874999999999995</v>
      </c>
      <c r="W53" s="32">
        <f>COUNTIFS(Result_set,INDEX(New_Result_set,$B$4),measure,"CAS Progress English",SEN,"K")</f>
        <v>8</v>
      </c>
      <c r="X53" s="37">
        <f>IFERROR(SUMIFS(Result,SEN,"K",measure,"CAS Progress English",Result_set,INDEX(New_Result_set,$B$4))/W53,"")</f>
        <v>-0.53249999999999997</v>
      </c>
      <c r="Y53" s="36">
        <f>COUNTIFS(Result_set,INDEX(New_Result_set,$B$4),measure,"CAS Progress Maths",SEN,"K")</f>
        <v>8</v>
      </c>
      <c r="Z53" s="35">
        <f>IFERROR(SUMIFS(Result,SEN,"K",measure,"CAS Progress Maths",Result_set,INDEX(New_Result_set,$B$4))/Y53,"")</f>
        <v>0.51249999999999996</v>
      </c>
      <c r="AA53" s="34">
        <f>COUNTIFS(Result_set,INDEX(New_Result_set,$B$4),measure,"CAS Progress Ebacc",SEN,"K")</f>
        <v>8</v>
      </c>
      <c r="AB53" s="33">
        <f>IFERROR(SUMIFS(Result,SEN,"K",measure,"CAS Progress Ebacc",Result_set,INDEX(New_Result_set,$B$4))/AA53,"")</f>
        <v>1.1012499999999998</v>
      </c>
      <c r="AC53" s="32">
        <f>COUNTIFS(Result_set,INDEX(New_Result_set,$B$4),measure,"CAS Progress Open",SEN,"K")</f>
        <v>8</v>
      </c>
      <c r="AD53" s="31">
        <f>IFERROR(SUMIFS(Result,SEN,"K",measure,"CAS Progress Open",Result_set,INDEX(New_Result_set,$B$4))/AC53,"")</f>
        <v>-2.6912499999999997</v>
      </c>
    </row>
    <row r="54" spans="3:30" ht="18" x14ac:dyDescent="0.25">
      <c r="C54" s="48" t="s">
        <v>339</v>
      </c>
      <c r="D54" s="47">
        <f>SUM(D51:D53)</f>
        <v>8</v>
      </c>
      <c r="E54" s="45">
        <f>IFERROR(D54/$D$2,"")</f>
        <v>4.5454545454545456E-2</v>
      </c>
      <c r="F54" s="43">
        <f>SUM(F51:F53)</f>
        <v>8</v>
      </c>
      <c r="G54" s="42">
        <f>IFERROR((SUMIFS(Result,SEN,"S",measure,"CAS Attainment 8",Result_set,INDEX(New_Result_set,$B$4))*10+SUMIFS(Result,SEN,"E",measure,"CAS Attainment 8",Result_set,INDEX(New_Result_set,$B$4))*10+SUMIFS(Result,SEN,"K",measure,"CAS Attainment 8",Result_set,INDEX(New_Result_set,$B$4))*10)/F54,"")</f>
        <v>23.3125</v>
      </c>
      <c r="H54" s="56">
        <v>47.78</v>
      </c>
      <c r="I54" s="32">
        <f>SUM(I51:I53)</f>
        <v>8</v>
      </c>
      <c r="J54" s="37">
        <f>IFERROR((SUMIFS(Result,SEN,"S",measure,"CAS Attainment En",Result_set,INDEX(New_Result_set,$B$4))+SUMIFS(Result,SEN,"E",measure,"CAS Attainment En",Result_set,INDEX(New_Result_set,$B$4))+SUMIFS(Result,SEN,"K",measure,"CAS Attainment En",Result_set,INDEX(New_Result_set,$B$4)))/I54,"")</f>
        <v>5.25</v>
      </c>
      <c r="K54" s="59">
        <v>10.32</v>
      </c>
      <c r="L54" s="36">
        <f>SUM(L51:L53)</f>
        <v>8</v>
      </c>
      <c r="M54" s="35">
        <f>IFERROR((SUMIFS(Result,SEN,"S",measure,"CAS Attainment Ma",Result_set,INDEX(New_Result_set,$B$4))+SUMIFS(Result,SEN,"E",measure,"CAS Attainment Ma",Result_set,INDEX(New_Result_set,$B$4))+SUMIFS(Result,SEN,"K",measure,"CAS Attainment Ma",Result_set,INDEX(New_Result_set,$B$4)))/L54,"")</f>
        <v>5</v>
      </c>
      <c r="N54" s="58">
        <v>9.64</v>
      </c>
      <c r="O54" s="43">
        <f>SUM(O51:O53)</f>
        <v>8</v>
      </c>
      <c r="P54" s="42">
        <f>IFERROR((SUMIFS(Result,SEN,"S",measure,"CAS Attainment Ebacc",Result_set,INDEX(New_Result_set,$B$4))+SUMIFS(Result,SEN,"E",measure,"CAS Attainment Ebacc",Result_set,INDEX(New_Result_set,$B$4))+SUMIFS(Result,SEN,"K",measure,"CAS Attainment Ebacc",Result_set,INDEX(New_Result_set,$B$4)))/O54,"")</f>
        <v>5.75</v>
      </c>
      <c r="Q54" s="57">
        <v>12.52</v>
      </c>
      <c r="R54" s="32">
        <f>SUM(R51:R53)</f>
        <v>8</v>
      </c>
      <c r="S54" s="37">
        <f>IFERROR((SUMIFS(Result,SEN,"S",measure,"CAS Attainment Open",Result_set,INDEX(New_Result_set,$B$4))+SUMIFS(Result,SEN,"E",measure,"CAS Attainment Open",Result_set,INDEX(New_Result_set,$B$4))+SUMIFS(Result,SEN,"K",measure,"CAS Attainment Open",Result_set,INDEX(New_Result_set,$B$4)))/R54,"")</f>
        <v>7.3125</v>
      </c>
      <c r="T54" s="56">
        <v>15.3</v>
      </c>
      <c r="U54" s="39">
        <f>SUM(U51:U53)</f>
        <v>8</v>
      </c>
      <c r="V54" s="38">
        <f>IFERROR((SUMIFS(Result,SEN,"S",measure,"CAS Progress 8",Result_set,INDEX(New_Result_set,$B$4))+SUMIFS(Result,SEN,"E",measure,"CAS Progress 8",Result_set,INDEX(New_Result_set,$B$4))+SUMIFS(Result,SEN,"K",measure,"CAS Progress 8",Result_set,INDEX(New_Result_set,$B$4)))/U54,"")</f>
        <v>-0.15874999999999995</v>
      </c>
      <c r="W54" s="32">
        <f>SUM(W51:W53)</f>
        <v>8</v>
      </c>
      <c r="X54" s="37">
        <f>IFERROR((SUMIFS(Result,SEN,"S",measure,"CAS Progress English",Result_set,INDEX(New_Result_set,$B$4))+SUMIFS(Result,SEN,"E",measure,"CAS Progress English",Result_set,INDEX(New_Result_set,$B$4))+SUMIFS(Result,SEN,"K",measure,"CAS Progress English",Result_set,INDEX(New_Result_set,$B$4)))/W54,"")</f>
        <v>-0.53249999999999997</v>
      </c>
      <c r="Y54" s="36">
        <f>SUM(Y51:Y53)</f>
        <v>8</v>
      </c>
      <c r="Z54" s="35">
        <f>IFERROR((SUMIFS(Result,SEN,"S",measure,"CAS Progress Maths",Result_set,INDEX(New_Result_set,$B$4))+SUMIFS(Result,SEN,"E",measure,"CAS Progress Maths",Result_set,INDEX(New_Result_set,$B$4))+SUMIFS(Result,SEN,"K",measure,"CAS Progress Maths",Result_set,INDEX(New_Result_set,$B$4)))/Y54,"")</f>
        <v>0.51249999999999996</v>
      </c>
      <c r="AA54" s="34">
        <f>SUM(AA51:AA53)</f>
        <v>8</v>
      </c>
      <c r="AB54" s="33">
        <f>IFERROR((SUMIFS(Result,SEN,"S",measure,"CAS Progress Ebacc",Result_set,INDEX(New_Result_set,$B$4))+SUMIFS(Result,SEN,"E",measure,"CAS Progress Ebacc",Result_set,INDEX(New_Result_set,$B$4))+SUMIFS(Result,SEN,"K",measure,"CAS Progress Ebacc",Result_set,INDEX(New_Result_set,$B$4)))/AA54,"")</f>
        <v>1.1012499999999998</v>
      </c>
      <c r="AC54" s="32">
        <f>SUM(AC51:AC53)</f>
        <v>8</v>
      </c>
      <c r="AD54" s="31">
        <f>IFERROR((SUMIFS(Result,SEN,"S",measure,"CAS Progress Open",Result_set,INDEX(New_Result_set,$B$4))+SUMIFS(Result,SEN,"E",measure,"CAS Progress Open",Result_set,INDEX(New_Result_set,$B$4))+SUMIFS(Result,SEN,"K",measure,"CAS Progress Open",Result_set,INDEX(New_Result_set,$B$4)))/AC54,"")</f>
        <v>-2.6912499999999997</v>
      </c>
    </row>
    <row r="55" spans="3:30" ht="18" x14ac:dyDescent="0.25">
      <c r="C55" s="48" t="s">
        <v>338</v>
      </c>
      <c r="D55" s="47">
        <f>D37-D54</f>
        <v>168</v>
      </c>
      <c r="E55" s="45">
        <f>IFERROR(D55/$D$2,"")</f>
        <v>0.95454545454545459</v>
      </c>
      <c r="F55" s="43">
        <f>F37-F54</f>
        <v>168</v>
      </c>
      <c r="G55" s="42">
        <f>IFERROR((SUMIFS(Result,measure,"CAS Attainment 8",Result_set,INDEX(New_Result_set,$B$4))*10-(SUMIFS(Result,SEN,"S",measure,"CAS Attainment 8",Result_set,INDEX(New_Result_set,$B$4))*10+SUMIFS(Result,SEN,"E",measure,"CAS Attainment 8",Result_set,INDEX(New_Result_set,$B$4))*10+SUMIFS(Result,SEN,"K",measure,"CAS Attainment 8",Result_set,INDEX(New_Result_set,$B$4))*10))/F55,"")</f>
        <v>42.845238095238109</v>
      </c>
      <c r="H55" s="56">
        <v>51.28</v>
      </c>
      <c r="I55" s="32">
        <f>I37-I54</f>
        <v>168</v>
      </c>
      <c r="J55" s="37">
        <f>IFERROR((SUMIFS(Result,measure,"CAS Attainment En",Result_set,INDEX(New_Result_set,$B$4))-(SUMIFS(Result,SEN,"S",measure,"CAS Attainment En",Result_set,INDEX(New_Result_set,$B$4))+SUMIFS(Result,SEN,"E",measure,"CAS Attainment En",Result_set,INDEX(New_Result_set,$B$4))+SUMIFS(Result,SEN,"K",measure,"CAS Attainment En",Result_set,INDEX(New_Result_set,$B$4))))/I55,"")</f>
        <v>9.4523809523809526</v>
      </c>
      <c r="K55" s="59">
        <v>10.95</v>
      </c>
      <c r="L55" s="36">
        <f>L37-L54</f>
        <v>168</v>
      </c>
      <c r="M55" s="35">
        <f>IFERROR((SUMIFS(Result,measure,"CAS Attainment Ma",Result_set,INDEX(New_Result_set,$B$4))-(SUMIFS(Result,SEN,"S",measure,"CAS Attainment Ma",Result_set,INDEX(New_Result_set,$B$4))+SUMIFS(Result,SEN,"E",measure,"CAS Attainment Ma",Result_set,INDEX(New_Result_set,$B$4))+SUMIFS(Result,SEN,"K",measure,"CAS Attainment Ma",Result_set,INDEX(New_Result_set,$B$4))))/L55,"")</f>
        <v>9.0119047619047628</v>
      </c>
      <c r="N55" s="58">
        <v>10.35</v>
      </c>
      <c r="O55" s="43">
        <f>O37-O54</f>
        <v>168</v>
      </c>
      <c r="P55" s="42">
        <f>IFERROR((SUMIFS(Result,measure,"CAS Attainment Ebacc",Result_set,INDEX(New_Result_set,$B$4))-(SUMIFS(Result,SEN,"S",measure,"CAS Attainment Ebacc",Result_set,INDEX(New_Result_set,$B$4))+SUMIFS(Result,SEN,"E",measure,"CAS Attainment Ebacc",Result_set,INDEX(New_Result_set,$B$4))+SUMIFS(Result,SEN,"K",measure,"CAS Attainment Ebacc",Result_set,INDEX(New_Result_set,$B$4))))/O55,"")</f>
        <v>11.851190476190476</v>
      </c>
      <c r="Q55" s="57">
        <v>13.76</v>
      </c>
      <c r="R55" s="32">
        <f>R37-R54</f>
        <v>168</v>
      </c>
      <c r="S55" s="37">
        <f>IFERROR((SUMIFS(Result,measure,"CAS Attainment Open",Result_set,INDEX(New_Result_set,$B$4))-(SUMIFS(Result,SEN,"S",measure,"CAS Attainment Open",Result_set,INDEX(New_Result_set,$B$4))+SUMIFS(Result,SEN,"E",measure,"CAS Attainment Open",Result_set,INDEX(New_Result_set,$B$4))+SUMIFS(Result,SEN,"K",measure,"CAS Attainment Open",Result_set,INDEX(New_Result_set,$B$4))))/R55,"")</f>
        <v>12.529761904761905</v>
      </c>
      <c r="T55" s="56">
        <v>16.22</v>
      </c>
      <c r="U55" s="39">
        <f>U37-U54</f>
        <v>160</v>
      </c>
      <c r="V55" s="38">
        <f>IFERROR((SUMIFS(Result,measure,"CAS Progress 8",Result_set,INDEX(New_Result_set,$B$4))-(SUMIFS(Result,SEN,"S",measure,"CAS Progress 8",Result_set,INDEX(New_Result_set,$B$4))+SUMIFS(Result,SEN,"E",measure,"CAS Progress 8",Result_set,INDEX(New_Result_set,$B$4))+SUMIFS(Result,SEN,"K",measure,"CAS Progress 8",Result_set,INDEX(New_Result_set,$B$4))))/U55,"")</f>
        <v>-7.5687500000000088E-2</v>
      </c>
      <c r="W55" s="32">
        <f>W37-W54</f>
        <v>160</v>
      </c>
      <c r="X55" s="37">
        <f>IFERROR((SUMIFS(Result,measure,"CAS Progress English",Result_set,INDEX(New_Result_set,$B$4))-(SUMIFS(Result,SEN,"S",measure,"CAS Progress English",Result_set,INDEX(New_Result_set,$B$4))+SUMIFS(Result,SEN,"E",measure,"CAS Progress English",Result_set,INDEX(New_Result_set,$B$4))+SUMIFS(Result,SEN,"K",measure,"CAS Progress English",Result_set,INDEX(New_Result_set,$B$4))))/W55,"")</f>
        <v>-0.14587500000000042</v>
      </c>
      <c r="Y55" s="36">
        <f>Y37-Y54</f>
        <v>160</v>
      </c>
      <c r="Z55" s="35">
        <f>IFERROR((SUMIFS(Result,measure,"CAS Progress Maths",Result_set,INDEX(New_Result_set,$B$4))-(SUMIFS(Result,SEN,"S",measure,"CAS Progress Maths",Result_set,INDEX(New_Result_set,$B$4))+SUMIFS(Result,SEN,"E",measure,"CAS Progress Maths",Result_set,INDEX(New_Result_set,$B$4))+SUMIFS(Result,SEN,"K",measure,"CAS Progress Maths",Result_set,INDEX(New_Result_set,$B$4))))/Y55,"")</f>
        <v>0.20437500000000003</v>
      </c>
      <c r="AA55" s="34">
        <f>AA37-AA54</f>
        <v>160</v>
      </c>
      <c r="AB55" s="33">
        <f>IFERROR((SUMIFS(Result,measure,"CAS Progress Ebacc",Result_set,INDEX(New_Result_set,$B$4))-(SUMIFS(Result,SEN,"S",measure,"CAS Progress Ebacc",Result_set,INDEX(New_Result_set,$B$4))+SUMIFS(Result,SEN,"E",measure,"CAS Progress Ebacc",Result_set,INDEX(New_Result_set,$B$4))+SUMIFS(Result,SEN,"K",measure,"CAS Progress Ebacc",Result_set,INDEX(New_Result_set,$B$4))))/AA55,"")</f>
        <v>1.1704999999999997</v>
      </c>
      <c r="AC55" s="32">
        <f>AC37-AC54</f>
        <v>160</v>
      </c>
      <c r="AD55" s="31">
        <f>IFERROR((SUMIFS(Result,measure,"CAS Progress Open",Result_set,INDEX(New_Result_set,$B$4))-(SUMIFS(Result,SEN,"S",measure,"CAS Progress Open",Result_set,INDEX(New_Result_set,$B$4))+SUMIFS(Result,SEN,"E",measure,"CAS Progress Open",Result_set,INDEX(New_Result_set,$B$4))+SUMIFS(Result,SEN,"K",measure,"CAS Progress Open",Result_set,INDEX(New_Result_set,$B$4))))/AC55,"")</f>
        <v>-2.0383124999999951</v>
      </c>
    </row>
    <row r="56" spans="3:30" ht="18" x14ac:dyDescent="0.25">
      <c r="C56" s="55" t="s">
        <v>337</v>
      </c>
      <c r="D56" s="54" t="s">
        <v>336</v>
      </c>
      <c r="E56" s="53">
        <f>IFERROR(ABS(E55-E54),"")</f>
        <v>0.90909090909090917</v>
      </c>
      <c r="F56" s="50" t="s">
        <v>336</v>
      </c>
      <c r="G56" s="52">
        <f>IFERROR(ABS(G55-G54),"")</f>
        <v>19.532738095238109</v>
      </c>
      <c r="H56" s="51">
        <f>IFERROR(ABS(H54-H55),"")</f>
        <v>3.5</v>
      </c>
      <c r="I56" s="50" t="s">
        <v>336</v>
      </c>
      <c r="J56" s="52">
        <f>IFERROR(ABS(J55-J54),"")</f>
        <v>4.2023809523809526</v>
      </c>
      <c r="K56" s="51">
        <f>IFERROR(ABS(K54-K55),"")</f>
        <v>0.62999999999999901</v>
      </c>
      <c r="L56" s="50" t="s">
        <v>336</v>
      </c>
      <c r="M56" s="52">
        <f>IFERROR(ABS(M55-M54),"")</f>
        <v>4.0119047619047628</v>
      </c>
      <c r="N56" s="51">
        <f>IFERROR(ABS(N54-N55),"")</f>
        <v>0.70999999999999908</v>
      </c>
      <c r="O56" s="50" t="s">
        <v>336</v>
      </c>
      <c r="P56" s="52">
        <f>IFERROR(ABS(P55-P54),"")</f>
        <v>6.1011904761904763</v>
      </c>
      <c r="Q56" s="51">
        <f>IFERROR(ABS(Q54-Q55),"")</f>
        <v>1.2400000000000002</v>
      </c>
      <c r="R56" s="50" t="s">
        <v>336</v>
      </c>
      <c r="S56" s="52">
        <f>IFERROR(ABS(S55-S54),"")</f>
        <v>5.2172619047619051</v>
      </c>
      <c r="T56" s="51">
        <f>IFERROR(ABS(T54-T55),"")</f>
        <v>0.91999999999999815</v>
      </c>
      <c r="U56" s="50" t="s">
        <v>336</v>
      </c>
      <c r="V56" s="49">
        <f>IFERROR(ABS(V55-V54),"")</f>
        <v>8.3062499999999859E-2</v>
      </c>
      <c r="W56" s="50" t="s">
        <v>336</v>
      </c>
      <c r="X56" s="49">
        <f>IFERROR(ABS(X55-X54),"")</f>
        <v>0.38662499999999955</v>
      </c>
      <c r="Y56" s="50" t="s">
        <v>336</v>
      </c>
      <c r="Z56" s="49">
        <f>IFERROR(ABS(Z55-Z54),"")</f>
        <v>0.30812499999999993</v>
      </c>
      <c r="AA56" s="50" t="s">
        <v>336</v>
      </c>
      <c r="AB56" s="49">
        <f>IFERROR(ABS(AB55-AB54),"")</f>
        <v>6.9249999999999812E-2</v>
      </c>
      <c r="AC56" s="50" t="s">
        <v>336</v>
      </c>
      <c r="AD56" s="49">
        <f>IFERROR(ABS(AD55-AD54),"")</f>
        <v>0.65293750000000461</v>
      </c>
    </row>
    <row r="57" spans="3:30" ht="18" x14ac:dyDescent="0.25">
      <c r="C57" s="48" t="s">
        <v>335</v>
      </c>
      <c r="D57" s="47">
        <f>COUNTIFS(Result_set,INDEX(New_Result_set,$B$4),measure,"CAS Attainment 8",DOA,"&lt;"&amp;$C$6)</f>
        <v>176</v>
      </c>
      <c r="E57" s="45">
        <f>IFERROR(D57/$D$2,"")</f>
        <v>1</v>
      </c>
      <c r="F57" s="43">
        <f>COUNTIFS(Result_set,INDEX(New_Result_set,$B$4),measure,"CAS Attainment 8",DOA,"&lt;"&amp;$C$6)</f>
        <v>176</v>
      </c>
      <c r="G57" s="42">
        <f>IFERROR(SUMIFS(Result,DOA,"&lt;"&amp;$C$6,measure,"CAS Attainment 8",Result_set,INDEX(New_Result_set,$B$4))*10/F57,"")</f>
        <v>41.957386363636381</v>
      </c>
      <c r="H57" s="41"/>
      <c r="I57" s="32">
        <f>COUNTIFS(Result_set,INDEX(New_Result_set,$B$4),measure,"CAS Attainment En",DOA,"&lt;"&amp;$C$6)</f>
        <v>176</v>
      </c>
      <c r="J57" s="37">
        <f>IFERROR(SUMIFS(Result,DOA,"&lt;"&amp;$C$6,measure,"CAS Attainment En",Result_set,INDEX(New_Result_set,$B$4))/I57,"")</f>
        <v>9.2613636363636367</v>
      </c>
      <c r="K57" s="40"/>
      <c r="L57" s="36">
        <f>COUNTIFS(Result_set,INDEX(New_Result_set,$B$4),measure,"CAS Attainment Ma",DOA,"&lt;"&amp;$C$6)</f>
        <v>176</v>
      </c>
      <c r="M57" s="35">
        <f>IFERROR(SUMIFS(Result,DOA,"&lt;"&amp;$C$6,measure,"CAS Attainment Ma",Result_set,INDEX(New_Result_set,$B$4))/L57,"")</f>
        <v>8.829545454545455</v>
      </c>
      <c r="N57" s="44"/>
      <c r="O57" s="43">
        <f>COUNTIFS(Result_set,INDEX(New_Result_set,$B$4),measure,"CAS Attainment Ebacc",DOA,"&lt;"&amp;$C$6)</f>
        <v>176</v>
      </c>
      <c r="P57" s="42">
        <f>IFERROR(SUMIFS(Result,DOA,"&lt;"&amp;$C$6,measure,"CAS Attainment Ebacc",Result_set,INDEX(New_Result_set,$B$4))/O57,"")</f>
        <v>11.573863636363637</v>
      </c>
      <c r="Q57" s="41"/>
      <c r="R57" s="32">
        <f>COUNTIFS(Result_set,INDEX(New_Result_set,$B$4),measure,"CAS Attainment Open",DOA,"&lt;"&amp;$C$6)</f>
        <v>176</v>
      </c>
      <c r="S57" s="37">
        <f>IFERROR(SUMIFS(Result,DOA,"&lt;"&amp;$C$6,measure,"CAS Attainment Open",Result_set,INDEX(New_Result_set,$B$4))/R57,"")</f>
        <v>12.292613636363637</v>
      </c>
      <c r="T57" s="40"/>
      <c r="U57" s="39">
        <f>COUNTIFS(Result_set,INDEX(New_Result_set,$B$4),measure,"CAS Progress 8",DOA,"&lt;"&amp;$C$6)</f>
        <v>168</v>
      </c>
      <c r="V57" s="38">
        <f>IFERROR(SUMIFS(Result,DOA,"&lt;"&amp;$C$6,measure,"CAS Progress 8",Result_set,INDEX(New_Result_set,$B$4))/U57,"")</f>
        <v>-7.9642857142857224E-2</v>
      </c>
      <c r="W57" s="32">
        <f>COUNTIFS(Result_set,INDEX(New_Result_set,$B$4),measure,"CAS Progress English",DOA,"&lt;"&amp;$C$6)</f>
        <v>168</v>
      </c>
      <c r="X57" s="37">
        <f>IFERROR(SUMIFS(Result,DOA,"&lt;"&amp;$C$6,measure,"CAS Progress English",Result_set,INDEX(New_Result_set,$B$4))/W57,"")</f>
        <v>-0.1642857142857147</v>
      </c>
      <c r="Y57" s="36">
        <f>COUNTIFS(Result_set,INDEX(New_Result_set,$B$4),measure,"CAS Progress Maths",DOA,"&lt;"&amp;$C$6)</f>
        <v>168</v>
      </c>
      <c r="Z57" s="35">
        <f>IFERROR(SUMIFS(Result,DOA,"&lt;"&amp;$C$6,measure,"CAS Progress Maths",Result_set,INDEX(New_Result_set,$B$4))/Y57,"")</f>
        <v>0.21904761904761907</v>
      </c>
      <c r="AA57" s="34">
        <f>COUNTIFS(Result_set,INDEX(New_Result_set,$B$4),measure,"CAS Progress Ebacc",DOA,"&lt;"&amp;$C$6)</f>
        <v>168</v>
      </c>
      <c r="AB57" s="33">
        <f>IFERROR(SUMIFS(Result,DOA,"&lt;"&amp;$C$6,measure,"CAS Progress Ebacc",Result_set,INDEX(New_Result_set,$B$4))/AA57,"")</f>
        <v>1.1672023809523806</v>
      </c>
      <c r="AC57" s="32">
        <f>COUNTIFS(Result_set,INDEX(New_Result_set,$B$4),measure,"CAS Progress Open",DOA,"&lt;"&amp;$C$6)</f>
        <v>168</v>
      </c>
      <c r="AD57" s="31">
        <f>IFERROR(SUMIFS(Result,DOA,"&lt;"&amp;$C$6,measure,"CAS Progress Open",Result_set,INDEX(New_Result_set,$B$4))/AC57,"")</f>
        <v>-2.0694047619047571</v>
      </c>
    </row>
    <row r="58" spans="3:30" ht="18" x14ac:dyDescent="0.25">
      <c r="C58" s="46" t="s">
        <v>7</v>
      </c>
      <c r="D58" s="36"/>
      <c r="E58" s="45"/>
      <c r="F58" s="43"/>
      <c r="G58" s="42"/>
      <c r="H58" s="41"/>
      <c r="I58" s="32"/>
      <c r="J58" s="37"/>
      <c r="K58" s="40"/>
      <c r="L58" s="36"/>
      <c r="M58" s="35"/>
      <c r="N58" s="44"/>
      <c r="O58" s="43"/>
      <c r="P58" s="42"/>
      <c r="Q58" s="41"/>
      <c r="R58" s="32"/>
      <c r="S58" s="37"/>
      <c r="T58" s="40"/>
      <c r="U58" s="39"/>
      <c r="V58" s="38"/>
      <c r="W58" s="32"/>
      <c r="X58" s="37"/>
      <c r="Y58" s="36"/>
      <c r="Z58" s="35"/>
      <c r="AA58" s="34"/>
      <c r="AB58" s="33"/>
      <c r="AC58" s="32"/>
      <c r="AD58" s="31"/>
    </row>
    <row r="59" spans="3:30" ht="18.75" thickBot="1" x14ac:dyDescent="0.3">
      <c r="C59" s="30"/>
      <c r="D59" s="20">
        <f>COUNTIFS(Ethnicity,INDEX(newlist,$B$32),Result_set,INDEX(New_Result_set,$B$4),measure,"CAS Attainment 8")</f>
        <v>0</v>
      </c>
      <c r="E59" s="29">
        <f>IFERROR(D59/$D$2,"")</f>
        <v>0</v>
      </c>
      <c r="F59" s="27">
        <f>COUNTIFS(Ethnicity,INDEX(newlist,$B$32),Result_set,INDEX(New_Result_set,$B$4),measure,"CAS Attainment 8")</f>
        <v>0</v>
      </c>
      <c r="G59" s="26" t="str">
        <f>IFERROR(SUMIFS(Result,Ethnicity,INDEX(newlist,$B$32),measure,"CAS Attainment 8",Result_set,INDEX(New_Result_set,$B$4))*10/F59,"")</f>
        <v/>
      </c>
      <c r="H59" s="25"/>
      <c r="I59" s="16">
        <f>COUNTIFS(Ethnicity,INDEX(newlist,$B$32),Result_set,INDEX(New_Result_set,$B$4),measure,"CAS Attainment En")</f>
        <v>0</v>
      </c>
      <c r="J59" s="21" t="str">
        <f>IFERROR(SUMIFS(Result,Ethnicity,INDEX(newlist,$B$32),measure,"CAS Attainment En",Result_set,INDEX(New_Result_set,$B$4))/I59,"")</f>
        <v/>
      </c>
      <c r="K59" s="24"/>
      <c r="L59" s="20">
        <f>COUNTIFS(Ethnicity,INDEX(newlist,$B$32),Result_set,INDEX(New_Result_set,$B$4),measure,"CAS Attainment Ma")</f>
        <v>0</v>
      </c>
      <c r="M59" s="19" t="str">
        <f>IFERROR(SUMIFS(Result,Ethnicity,INDEX(newlist,$B$32),measure,"CAS Attainment Ma",Result_set,INDEX(New_Result_set,$B$4))/L59,"")</f>
        <v/>
      </c>
      <c r="N59" s="28"/>
      <c r="O59" s="27">
        <f>COUNTIFS(Ethnicity,INDEX(newlist,$B$32),Result_set,INDEX(New_Result_set,$B$4),measure,"CAS Attainment Ebacc")</f>
        <v>0</v>
      </c>
      <c r="P59" s="26" t="str">
        <f>IFERROR(SUMIFS(Result,Ethnicity,INDEX(newlist,$B$32),measure,"CAS Attainment Ebacc",Result_set,INDEX(New_Result_set,$B$4))/O59,"")</f>
        <v/>
      </c>
      <c r="Q59" s="25"/>
      <c r="R59" s="16">
        <f>COUNTIFS(Ethnicity,INDEX(newlist,$B$32),Result_set,INDEX(New_Result_set,$B$4),measure,"CAS Attainment Open")</f>
        <v>0</v>
      </c>
      <c r="S59" s="21" t="str">
        <f>IFERROR(SUMIFS(Result,Ethnicity,INDEX(newlist,$B$32),measure,"CAS Attainment Open",Result_set,INDEX(New_Result_set,$B$4))/R59,"")</f>
        <v/>
      </c>
      <c r="T59" s="24"/>
      <c r="U59" s="23">
        <f>COUNTIFS(Ethnicity,INDEX(newlist,$B$32),Result_set,INDEX(New_Result_set,$B$4),measure,"CAS Progress 8")</f>
        <v>0</v>
      </c>
      <c r="V59" s="22" t="str">
        <f>IFERROR(SUMIFS(Result,Ethnicity,INDEX(newlist,$B$32),measure,"CAS Progress 8",Result_set,INDEX(New_Result_set,$B$4))/U59,"")</f>
        <v/>
      </c>
      <c r="W59" s="16">
        <f>COUNTIFS(Ethnicity,INDEX(newlist,$B$32),Result_set,INDEX(New_Result_set,$B$4),measure,"CAS Progress English")</f>
        <v>0</v>
      </c>
      <c r="X59" s="21" t="str">
        <f>IFERROR(SUMIFS(Result,Ethnicity,INDEX(newlist,$B$32),measure,"CAS Progress English",Result_set,INDEX(New_Result_set,$B$4))/W59,"")</f>
        <v/>
      </c>
      <c r="Y59" s="20">
        <f>COUNTIFS(Ethnicity,INDEX(newlist,$B$32),Result_set,INDEX(New_Result_set,$B$4),measure,"CAS Progress Maths")</f>
        <v>0</v>
      </c>
      <c r="Z59" s="19" t="str">
        <f>IFERROR(SUMIFS(Result,Ethnicity,INDEX(newlist,$B$32),measure,"CAS Progress Maths",Result_set,INDEX(New_Result_set,$B$4))/Y59,"")</f>
        <v/>
      </c>
      <c r="AA59" s="18">
        <f>COUNTIFS(Ethnicity,INDEX(newlist,$B$32),Result_set,INDEX(New_Result_set,$B$4),measure,"CAS Progress Ebacc")</f>
        <v>0</v>
      </c>
      <c r="AB59" s="17" t="str">
        <f>IFERROR(SUMIFS(Result,Ethnicity,INDEX(newlist,$B$32),measure,"CAS Progress Ebacc",Result_set,INDEX(New_Result_set,$B$4))/AA59,"")</f>
        <v/>
      </c>
      <c r="AC59" s="16">
        <f>COUNTIFS(Ethnicity,INDEX(newlist,$B$32),Result_set,INDEX(New_Result_set,$B$4),measure,"CAS Progress Open")</f>
        <v>0</v>
      </c>
      <c r="AD59" s="15" t="str">
        <f>IFERROR(SUMIFS(Result,Ethnicity,INDEX(newlist,$B$32),measure,"CAS Progress Open",Result_set,INDEX(New_Result_set,$B$4))/AC59,"")</f>
        <v/>
      </c>
    </row>
    <row r="63" spans="3:30" x14ac:dyDescent="0.2">
      <c r="G63" s="14" t="s">
        <v>334</v>
      </c>
      <c r="H63" s="13"/>
      <c r="I63" s="13"/>
      <c r="J63" s="13"/>
      <c r="K63" s="13"/>
      <c r="L63" s="13"/>
      <c r="M63" s="13"/>
      <c r="N63" s="13"/>
      <c r="O63" s="12"/>
    </row>
  </sheetData>
  <mergeCells count="20">
    <mergeCell ref="G63:O63"/>
    <mergeCell ref="F2:U2"/>
    <mergeCell ref="D8:E8"/>
    <mergeCell ref="F8:G8"/>
    <mergeCell ref="H8:J8"/>
    <mergeCell ref="K8:M8"/>
    <mergeCell ref="N8:P8"/>
    <mergeCell ref="F35:H35"/>
    <mergeCell ref="I35:K35"/>
    <mergeCell ref="U35:V35"/>
    <mergeCell ref="W35:X35"/>
    <mergeCell ref="Y35:Z35"/>
    <mergeCell ref="AA35:AB35"/>
    <mergeCell ref="AC35:AD35"/>
    <mergeCell ref="Q8:S8"/>
    <mergeCell ref="D35:E35"/>
    <mergeCell ref="T8:V8"/>
    <mergeCell ref="L35:N35"/>
    <mergeCell ref="O35:Q35"/>
    <mergeCell ref="R35:T35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  <headerFooter>
    <oddFooter>&amp;L© Capita School Improvement Programme 2013
For more information, please call 0844 892 1142
&amp;R&amp;G</oddFoot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5" name="Drop Down 4">
              <controlPr defaultSize="0" autoLine="0" autoPict="0">
                <anchor moveWithCells="1">
                  <from>
                    <xdr:col>2</xdr:col>
                    <xdr:colOff>9525</xdr:colOff>
                    <xdr:row>30</xdr:row>
                    <xdr:rowOff>219075</xdr:rowOff>
                  </from>
                  <to>
                    <xdr:col>2</xdr:col>
                    <xdr:colOff>1695450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Drop Down 5">
              <controlPr defaultSize="0" autoLine="0" autoPict="0">
                <anchor moveWithCells="1">
                  <from>
                    <xdr:col>2</xdr:col>
                    <xdr:colOff>9525</xdr:colOff>
                    <xdr:row>3</xdr:row>
                    <xdr:rowOff>9525</xdr:rowOff>
                  </from>
                  <to>
                    <xdr:col>2</xdr:col>
                    <xdr:colOff>1695450</xdr:colOff>
                    <xdr:row>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Drop Down 6">
              <controlPr defaultSize="0" autoLine="0" autoPict="0">
                <anchor moveWithCells="1">
                  <from>
                    <xdr:col>2</xdr:col>
                    <xdr:colOff>9525</xdr:colOff>
                    <xdr:row>57</xdr:row>
                    <xdr:rowOff>219075</xdr:rowOff>
                  </from>
                  <to>
                    <xdr:col>2</xdr:col>
                    <xdr:colOff>1695450</xdr:colOff>
                    <xdr:row>59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Q54"/>
  <sheetViews>
    <sheetView workbookViewId="0">
      <selection activeCell="B1" sqref="B1:B59"/>
    </sheetView>
  </sheetViews>
  <sheetFormatPr defaultRowHeight="12.75" x14ac:dyDescent="0.2"/>
  <cols>
    <col min="1" max="3" width="9.140625" style="1"/>
    <col min="4" max="4" width="14.28515625" style="1" bestFit="1" customWidth="1"/>
    <col min="5" max="5" width="14.7109375" style="1" bestFit="1" customWidth="1"/>
    <col min="6" max="7" width="11.85546875" style="1" customWidth="1"/>
    <col min="8" max="8" width="11.140625" style="1" customWidth="1"/>
    <col min="9" max="9" width="9.140625" style="1"/>
    <col min="10" max="10" width="21.5703125" style="1" bestFit="1" customWidth="1"/>
    <col min="11" max="11" width="9.140625" style="1"/>
    <col min="12" max="12" width="6" style="1" bestFit="1" customWidth="1"/>
    <col min="13" max="16384" width="9.140625" style="1"/>
  </cols>
  <sheetData>
    <row r="1" spans="1:17" x14ac:dyDescent="0.2">
      <c r="A1" s="1" t="s">
        <v>13</v>
      </c>
      <c r="B1" s="1" t="s">
        <v>16</v>
      </c>
    </row>
    <row r="2" spans="1:17" x14ac:dyDescent="0.2">
      <c r="A2" s="1" t="s">
        <v>36</v>
      </c>
      <c r="F2" s="6"/>
      <c r="H2" s="6"/>
      <c r="I2" s="5"/>
      <c r="J2" s="6"/>
      <c r="K2" s="5"/>
      <c r="L2" s="6"/>
    </row>
    <row r="3" spans="1:17" x14ac:dyDescent="0.2">
      <c r="A3" s="1" t="s">
        <v>40</v>
      </c>
    </row>
    <row r="4" spans="1:17" x14ac:dyDescent="0.2">
      <c r="A4" s="1" t="s">
        <v>43</v>
      </c>
      <c r="C4" s="7"/>
      <c r="D4" s="6"/>
      <c r="E4" s="6"/>
      <c r="F4" s="6"/>
      <c r="G4" s="6"/>
      <c r="H4" s="6"/>
      <c r="I4" s="6"/>
      <c r="J4" s="6"/>
      <c r="K4" s="6"/>
    </row>
    <row r="5" spans="1:17" x14ac:dyDescent="0.2">
      <c r="A5" s="1" t="s">
        <v>45</v>
      </c>
      <c r="C5" s="7"/>
      <c r="D5" s="6"/>
      <c r="E5" s="9"/>
      <c r="F5" s="6"/>
      <c r="G5" s="6"/>
      <c r="H5" s="6"/>
      <c r="I5" s="6"/>
      <c r="J5" s="6"/>
      <c r="K5" s="6"/>
    </row>
    <row r="6" spans="1:17" x14ac:dyDescent="0.2">
      <c r="A6" s="1" t="s">
        <v>49</v>
      </c>
      <c r="C6" s="7"/>
      <c r="D6" s="6"/>
      <c r="E6" s="6"/>
      <c r="F6" s="6"/>
      <c r="G6" s="6"/>
      <c r="H6" s="6"/>
      <c r="I6" s="6"/>
      <c r="J6" s="6"/>
      <c r="K6" s="6"/>
    </row>
    <row r="7" spans="1:17" x14ac:dyDescent="0.2">
      <c r="A7" s="1" t="s">
        <v>56</v>
      </c>
      <c r="C7" s="7"/>
      <c r="D7" s="9"/>
      <c r="E7" s="6"/>
      <c r="F7" s="6"/>
      <c r="G7" s="6"/>
      <c r="H7" s="6"/>
      <c r="I7" s="6"/>
      <c r="J7" s="6"/>
      <c r="K7" s="6"/>
    </row>
    <row r="8" spans="1:17" x14ac:dyDescent="0.2">
      <c r="A8" s="1" t="s">
        <v>66</v>
      </c>
      <c r="D8" s="6"/>
      <c r="E8" s="6"/>
      <c r="F8" s="6"/>
      <c r="G8" s="6"/>
      <c r="H8" s="6"/>
      <c r="I8" s="6"/>
      <c r="J8" s="6"/>
      <c r="K8" s="6"/>
    </row>
    <row r="9" spans="1:17" x14ac:dyDescent="0.2">
      <c r="A9" s="1" t="s">
        <v>74</v>
      </c>
      <c r="C9" s="7"/>
      <c r="D9" s="9"/>
      <c r="E9" s="6"/>
      <c r="F9" s="6"/>
      <c r="G9" s="6"/>
      <c r="H9" s="6"/>
      <c r="I9" s="6"/>
      <c r="J9" s="6"/>
      <c r="K9" s="6"/>
      <c r="L9" s="7" t="s">
        <v>330</v>
      </c>
      <c r="M9" s="7" t="s">
        <v>333</v>
      </c>
    </row>
    <row r="10" spans="1:17" x14ac:dyDescent="0.2">
      <c r="A10" s="1" t="s">
        <v>86</v>
      </c>
      <c r="D10" s="6"/>
      <c r="E10" s="6" t="s">
        <v>332</v>
      </c>
      <c r="F10" s="6" t="s">
        <v>330</v>
      </c>
      <c r="G10" s="6"/>
      <c r="H10" s="6"/>
      <c r="I10" s="6"/>
      <c r="J10" s="6"/>
      <c r="K10" s="6"/>
      <c r="L10" s="7" t="s">
        <v>296</v>
      </c>
      <c r="M10" s="1">
        <v>58</v>
      </c>
      <c r="P10" s="1" t="s">
        <v>331</v>
      </c>
      <c r="Q10" s="1" t="s">
        <v>330</v>
      </c>
    </row>
    <row r="11" spans="1:17" x14ac:dyDescent="0.2">
      <c r="A11" s="1" t="s">
        <v>93</v>
      </c>
      <c r="E11" s="6">
        <v>0</v>
      </c>
      <c r="F11" s="6" t="s">
        <v>305</v>
      </c>
      <c r="G11" s="6"/>
      <c r="H11" s="6" t="s">
        <v>329</v>
      </c>
      <c r="I11" s="6" t="s">
        <v>328</v>
      </c>
      <c r="J11" s="6"/>
      <c r="K11" s="6"/>
      <c r="L11" s="7" t="s">
        <v>327</v>
      </c>
      <c r="M11" s="1">
        <v>55</v>
      </c>
      <c r="P11" s="1">
        <v>0</v>
      </c>
      <c r="Q11" s="6" t="s">
        <v>305</v>
      </c>
    </row>
    <row r="12" spans="1:17" x14ac:dyDescent="0.2">
      <c r="A12" s="1" t="s">
        <v>104</v>
      </c>
      <c r="C12" s="7"/>
      <c r="E12" s="6">
        <v>0.5</v>
      </c>
      <c r="F12" s="6" t="s">
        <v>325</v>
      </c>
      <c r="G12" s="6"/>
      <c r="H12" s="6">
        <v>0</v>
      </c>
      <c r="I12" s="5" t="s">
        <v>326</v>
      </c>
      <c r="J12" s="6"/>
      <c r="K12" s="6"/>
      <c r="L12" s="7" t="s">
        <v>299</v>
      </c>
      <c r="M12" s="1">
        <v>52</v>
      </c>
      <c r="P12" s="1">
        <v>8</v>
      </c>
      <c r="Q12" s="6" t="s">
        <v>325</v>
      </c>
    </row>
    <row r="13" spans="1:17" x14ac:dyDescent="0.2">
      <c r="A13" s="1" t="s">
        <v>110</v>
      </c>
      <c r="C13" s="6"/>
      <c r="D13" s="6"/>
      <c r="E13" s="6">
        <v>0.83</v>
      </c>
      <c r="F13" s="6" t="s">
        <v>309</v>
      </c>
      <c r="G13" s="6"/>
      <c r="H13" s="6">
        <v>24</v>
      </c>
      <c r="I13" s="5" t="s">
        <v>10</v>
      </c>
      <c r="J13" s="6"/>
      <c r="K13" s="6"/>
      <c r="L13" s="7" t="s">
        <v>324</v>
      </c>
      <c r="M13" s="1">
        <v>49</v>
      </c>
      <c r="P13" s="1">
        <v>15</v>
      </c>
      <c r="Q13" s="6" t="s">
        <v>309</v>
      </c>
    </row>
    <row r="14" spans="1:17" x14ac:dyDescent="0.2">
      <c r="A14" s="1" t="s">
        <v>114</v>
      </c>
      <c r="C14" s="8"/>
      <c r="D14" s="5"/>
      <c r="E14" s="5">
        <v>1.17</v>
      </c>
      <c r="F14" s="6" t="s">
        <v>322</v>
      </c>
      <c r="G14" s="6"/>
      <c r="H14" s="6">
        <v>30</v>
      </c>
      <c r="I14" s="5" t="s">
        <v>323</v>
      </c>
      <c r="J14" s="6"/>
      <c r="K14" s="6"/>
      <c r="L14" s="7" t="s">
        <v>302</v>
      </c>
      <c r="M14" s="1">
        <v>46</v>
      </c>
      <c r="P14" s="1">
        <v>17</v>
      </c>
      <c r="Q14" s="6" t="s">
        <v>322</v>
      </c>
    </row>
    <row r="15" spans="1:17" x14ac:dyDescent="0.2">
      <c r="A15" s="1" t="s">
        <v>127</v>
      </c>
      <c r="C15" s="8"/>
      <c r="D15" s="5"/>
      <c r="E15" s="5">
        <v>1.5</v>
      </c>
      <c r="F15" s="6" t="s">
        <v>320</v>
      </c>
      <c r="G15" s="6"/>
      <c r="H15" s="6"/>
      <c r="I15" s="5"/>
      <c r="J15" s="6"/>
      <c r="K15" s="6"/>
      <c r="L15" s="7" t="s">
        <v>321</v>
      </c>
      <c r="M15" s="1">
        <v>43</v>
      </c>
      <c r="P15" s="1">
        <v>19</v>
      </c>
      <c r="Q15" s="6" t="s">
        <v>320</v>
      </c>
    </row>
    <row r="16" spans="1:17" x14ac:dyDescent="0.2">
      <c r="A16" s="1" t="s">
        <v>130</v>
      </c>
      <c r="C16" s="8"/>
      <c r="D16" s="6"/>
      <c r="E16" s="5">
        <v>1.83</v>
      </c>
      <c r="F16" s="6" t="s">
        <v>12</v>
      </c>
      <c r="G16" s="6"/>
      <c r="H16" s="6"/>
      <c r="I16" s="6"/>
      <c r="J16" s="6"/>
      <c r="K16" s="6"/>
      <c r="L16" s="7" t="s">
        <v>306</v>
      </c>
      <c r="M16" s="1">
        <v>40</v>
      </c>
      <c r="P16" s="1">
        <v>21</v>
      </c>
      <c r="Q16" s="6" t="s">
        <v>12</v>
      </c>
    </row>
    <row r="17" spans="1:17" x14ac:dyDescent="0.2">
      <c r="A17" s="1" t="s">
        <v>134</v>
      </c>
      <c r="D17" s="6"/>
      <c r="E17" s="5">
        <v>2.17</v>
      </c>
      <c r="F17" s="6" t="s">
        <v>318</v>
      </c>
      <c r="G17" s="6"/>
      <c r="H17" s="6"/>
      <c r="I17" s="6"/>
      <c r="J17" s="6"/>
      <c r="K17" s="6"/>
      <c r="L17" s="7" t="s">
        <v>319</v>
      </c>
      <c r="M17" s="1">
        <v>37</v>
      </c>
      <c r="P17" s="1">
        <v>23</v>
      </c>
      <c r="Q17" s="6" t="s">
        <v>318</v>
      </c>
    </row>
    <row r="18" spans="1:17" x14ac:dyDescent="0.2">
      <c r="A18" s="1" t="s">
        <v>136</v>
      </c>
      <c r="D18" s="6"/>
      <c r="E18" s="5">
        <v>2.5</v>
      </c>
      <c r="F18" s="6" t="s">
        <v>317</v>
      </c>
      <c r="G18" s="6"/>
      <c r="H18" s="6"/>
      <c r="I18" s="6"/>
      <c r="J18" s="6"/>
      <c r="K18" s="6"/>
      <c r="L18" s="7" t="s">
        <v>312</v>
      </c>
      <c r="M18" s="1">
        <v>34</v>
      </c>
      <c r="P18" s="1">
        <v>25</v>
      </c>
      <c r="Q18" s="6" t="s">
        <v>317</v>
      </c>
    </row>
    <row r="19" spans="1:17" x14ac:dyDescent="0.2">
      <c r="A19" s="1" t="s">
        <v>141</v>
      </c>
      <c r="D19" s="6"/>
      <c r="E19" s="5">
        <v>2.83</v>
      </c>
      <c r="F19" s="6" t="s">
        <v>224</v>
      </c>
      <c r="G19" s="6"/>
      <c r="H19" s="6"/>
      <c r="I19" s="6"/>
      <c r="J19" s="6"/>
      <c r="K19" s="6"/>
      <c r="L19" s="7" t="s">
        <v>316</v>
      </c>
      <c r="M19" s="1">
        <v>31</v>
      </c>
      <c r="P19" s="1">
        <v>27</v>
      </c>
      <c r="Q19" s="6" t="s">
        <v>224</v>
      </c>
    </row>
    <row r="20" spans="1:17" x14ac:dyDescent="0.2">
      <c r="A20" s="1" t="s">
        <v>145</v>
      </c>
      <c r="D20" s="6"/>
      <c r="E20" s="5">
        <v>3.17</v>
      </c>
      <c r="F20" s="6" t="s">
        <v>315</v>
      </c>
      <c r="G20" s="6"/>
      <c r="H20" s="6"/>
      <c r="I20" s="6"/>
      <c r="J20" s="6"/>
      <c r="K20" s="6"/>
      <c r="L20" s="7" t="s">
        <v>224</v>
      </c>
      <c r="M20" s="1">
        <v>28</v>
      </c>
      <c r="P20" s="1">
        <v>29</v>
      </c>
      <c r="Q20" s="6" t="s">
        <v>315</v>
      </c>
    </row>
    <row r="21" spans="1:17" x14ac:dyDescent="0.2">
      <c r="A21" s="1" t="s">
        <v>151</v>
      </c>
      <c r="D21" s="6"/>
      <c r="E21" s="5">
        <v>3.5</v>
      </c>
      <c r="F21" s="6" t="s">
        <v>313</v>
      </c>
      <c r="G21" s="6"/>
      <c r="H21" s="6"/>
      <c r="I21" s="6"/>
      <c r="J21" s="6"/>
      <c r="K21" s="6"/>
      <c r="L21" s="7" t="s">
        <v>314</v>
      </c>
      <c r="M21" s="1">
        <v>25</v>
      </c>
      <c r="P21" s="1">
        <v>31</v>
      </c>
      <c r="Q21" s="6" t="s">
        <v>313</v>
      </c>
    </row>
    <row r="22" spans="1:17" x14ac:dyDescent="0.2">
      <c r="A22" s="1" t="s">
        <v>156</v>
      </c>
      <c r="D22" s="6"/>
      <c r="E22" s="5">
        <v>3.83</v>
      </c>
      <c r="F22" s="6" t="s">
        <v>312</v>
      </c>
      <c r="G22" s="6"/>
      <c r="H22" s="6"/>
      <c r="I22" s="6"/>
      <c r="J22" s="6"/>
      <c r="K22" s="6"/>
      <c r="L22" s="7" t="s">
        <v>12</v>
      </c>
      <c r="M22" s="1">
        <v>22</v>
      </c>
      <c r="P22" s="1">
        <v>33</v>
      </c>
      <c r="Q22" s="6" t="s">
        <v>312</v>
      </c>
    </row>
    <row r="23" spans="1:17" x14ac:dyDescent="0.2">
      <c r="A23" s="1" t="s">
        <v>159</v>
      </c>
      <c r="D23" s="6"/>
      <c r="E23" s="5">
        <v>4.17</v>
      </c>
      <c r="F23" s="6" t="s">
        <v>310</v>
      </c>
      <c r="G23" s="6"/>
      <c r="H23" s="6"/>
      <c r="I23" s="6"/>
      <c r="J23" s="6"/>
      <c r="K23" s="6"/>
      <c r="L23" s="7" t="s">
        <v>311</v>
      </c>
      <c r="M23" s="1">
        <v>19</v>
      </c>
      <c r="P23" s="1">
        <v>35</v>
      </c>
      <c r="Q23" s="6" t="s">
        <v>310</v>
      </c>
    </row>
    <row r="24" spans="1:17" x14ac:dyDescent="0.2">
      <c r="A24" s="1" t="s">
        <v>166</v>
      </c>
      <c r="D24" s="6"/>
      <c r="E24" s="5">
        <v>4.5</v>
      </c>
      <c r="F24" s="6" t="s">
        <v>308</v>
      </c>
      <c r="G24" s="6"/>
      <c r="H24" s="6"/>
      <c r="I24" s="5"/>
      <c r="J24" s="6"/>
      <c r="K24" s="6"/>
      <c r="L24" s="7" t="s">
        <v>309</v>
      </c>
      <c r="M24" s="1">
        <v>16</v>
      </c>
      <c r="P24" s="1">
        <v>37</v>
      </c>
      <c r="Q24" s="6" t="s">
        <v>308</v>
      </c>
    </row>
    <row r="25" spans="1:17" x14ac:dyDescent="0.2">
      <c r="A25" s="1" t="s">
        <v>168</v>
      </c>
      <c r="D25" s="6"/>
      <c r="E25" s="5">
        <v>4.83</v>
      </c>
      <c r="F25" s="6" t="s">
        <v>306</v>
      </c>
      <c r="G25" s="6"/>
      <c r="H25" s="6"/>
      <c r="I25" s="5"/>
      <c r="J25" s="6"/>
      <c r="K25" s="6"/>
      <c r="L25" s="7" t="s">
        <v>307</v>
      </c>
      <c r="M25" s="1">
        <v>13</v>
      </c>
      <c r="P25" s="1">
        <v>39</v>
      </c>
      <c r="Q25" s="6" t="s">
        <v>306</v>
      </c>
    </row>
    <row r="26" spans="1:17" x14ac:dyDescent="0.2">
      <c r="A26" s="1" t="s">
        <v>171</v>
      </c>
      <c r="D26" s="6"/>
      <c r="E26" s="5">
        <v>5.17</v>
      </c>
      <c r="F26" s="6" t="s">
        <v>304</v>
      </c>
      <c r="G26" s="6"/>
      <c r="H26" s="6"/>
      <c r="I26" s="6"/>
      <c r="J26" s="6"/>
      <c r="K26" s="6"/>
      <c r="L26" s="7" t="s">
        <v>305</v>
      </c>
      <c r="M26" s="1">
        <v>0</v>
      </c>
      <c r="P26" s="1">
        <v>41</v>
      </c>
      <c r="Q26" s="6" t="s">
        <v>304</v>
      </c>
    </row>
    <row r="27" spans="1:17" x14ac:dyDescent="0.2">
      <c r="A27" s="1" t="s">
        <v>118</v>
      </c>
      <c r="D27" s="6"/>
      <c r="E27" s="5">
        <v>5.5</v>
      </c>
      <c r="F27" s="6" t="s">
        <v>303</v>
      </c>
      <c r="G27" s="6"/>
      <c r="H27" s="6"/>
      <c r="I27" s="6"/>
      <c r="J27" s="6"/>
      <c r="K27" s="6"/>
      <c r="P27" s="1">
        <v>43</v>
      </c>
      <c r="Q27" s="6" t="s">
        <v>303</v>
      </c>
    </row>
    <row r="28" spans="1:17" x14ac:dyDescent="0.2">
      <c r="A28" s="1" t="s">
        <v>175</v>
      </c>
      <c r="D28" s="6"/>
      <c r="E28" s="5">
        <v>5.83</v>
      </c>
      <c r="F28" s="6" t="s">
        <v>302</v>
      </c>
      <c r="G28" s="6"/>
      <c r="H28" s="6"/>
      <c r="I28" s="6"/>
      <c r="J28" s="6"/>
      <c r="K28" s="6"/>
      <c r="P28" s="1">
        <v>45</v>
      </c>
      <c r="Q28" s="6" t="s">
        <v>302</v>
      </c>
    </row>
    <row r="29" spans="1:17" x14ac:dyDescent="0.2">
      <c r="A29" s="1" t="s">
        <v>177</v>
      </c>
      <c r="E29" s="5">
        <v>6.17</v>
      </c>
      <c r="F29" s="1" t="s">
        <v>301</v>
      </c>
      <c r="P29" s="1">
        <v>47</v>
      </c>
      <c r="Q29" s="1" t="s">
        <v>301</v>
      </c>
    </row>
    <row r="30" spans="1:17" x14ac:dyDescent="0.2">
      <c r="A30" s="1" t="s">
        <v>181</v>
      </c>
      <c r="E30" s="5">
        <v>6.5</v>
      </c>
      <c r="F30" s="1" t="s">
        <v>300</v>
      </c>
      <c r="P30" s="1">
        <v>49</v>
      </c>
      <c r="Q30" s="1" t="s">
        <v>300</v>
      </c>
    </row>
    <row r="31" spans="1:17" x14ac:dyDescent="0.2">
      <c r="A31" s="1" t="s">
        <v>189</v>
      </c>
      <c r="E31" s="5">
        <v>6.83</v>
      </c>
      <c r="F31" s="1" t="s">
        <v>299</v>
      </c>
      <c r="P31" s="1">
        <v>51</v>
      </c>
      <c r="Q31" s="1" t="s">
        <v>299</v>
      </c>
    </row>
    <row r="32" spans="1:17" x14ac:dyDescent="0.2">
      <c r="A32" s="1" t="s">
        <v>192</v>
      </c>
      <c r="E32" s="5">
        <v>7.17</v>
      </c>
      <c r="F32" s="1" t="s">
        <v>298</v>
      </c>
      <c r="P32" s="1">
        <v>53</v>
      </c>
      <c r="Q32" s="1" t="s">
        <v>298</v>
      </c>
    </row>
    <row r="33" spans="1:17" x14ac:dyDescent="0.2">
      <c r="A33" s="1" t="s">
        <v>194</v>
      </c>
      <c r="E33" s="5">
        <v>7.5</v>
      </c>
      <c r="F33" s="1" t="s">
        <v>297</v>
      </c>
      <c r="P33" s="1">
        <v>55</v>
      </c>
      <c r="Q33" s="1" t="s">
        <v>297</v>
      </c>
    </row>
    <row r="34" spans="1:17" x14ac:dyDescent="0.2">
      <c r="A34" s="1" t="s">
        <v>196</v>
      </c>
      <c r="E34" s="5">
        <v>7.83</v>
      </c>
      <c r="F34" s="1" t="s">
        <v>296</v>
      </c>
      <c r="P34" s="1">
        <v>57</v>
      </c>
      <c r="Q34" s="1" t="s">
        <v>296</v>
      </c>
    </row>
    <row r="35" spans="1:17" x14ac:dyDescent="0.2">
      <c r="A35" s="1" t="s">
        <v>160</v>
      </c>
    </row>
    <row r="36" spans="1:17" x14ac:dyDescent="0.2">
      <c r="A36" s="1" t="s">
        <v>201</v>
      </c>
    </row>
    <row r="37" spans="1:17" x14ac:dyDescent="0.2">
      <c r="A37" s="1" t="s">
        <v>203</v>
      </c>
    </row>
    <row r="38" spans="1:17" x14ac:dyDescent="0.2">
      <c r="A38" s="1" t="s">
        <v>206</v>
      </c>
    </row>
    <row r="39" spans="1:17" x14ac:dyDescent="0.2">
      <c r="A39" s="1" t="s">
        <v>208</v>
      </c>
    </row>
    <row r="40" spans="1:17" x14ac:dyDescent="0.2">
      <c r="A40" s="1" t="s">
        <v>210</v>
      </c>
    </row>
    <row r="41" spans="1:17" x14ac:dyDescent="0.2">
      <c r="A41" s="1" t="s">
        <v>212</v>
      </c>
    </row>
    <row r="42" spans="1:17" x14ac:dyDescent="0.2">
      <c r="A42" s="1" t="s">
        <v>215</v>
      </c>
    </row>
    <row r="43" spans="1:17" x14ac:dyDescent="0.2">
      <c r="A43" s="1" t="s">
        <v>219</v>
      </c>
    </row>
    <row r="44" spans="1:17" x14ac:dyDescent="0.2">
      <c r="A44" s="1" t="s">
        <v>221</v>
      </c>
    </row>
    <row r="45" spans="1:17" x14ac:dyDescent="0.2">
      <c r="A45" s="1" t="s">
        <v>227</v>
      </c>
    </row>
    <row r="46" spans="1:17" x14ac:dyDescent="0.2">
      <c r="A46" s="1" t="s">
        <v>231</v>
      </c>
    </row>
    <row r="47" spans="1:17" x14ac:dyDescent="0.2">
      <c r="A47" s="1" t="s">
        <v>237</v>
      </c>
    </row>
    <row r="48" spans="1:17" x14ac:dyDescent="0.2">
      <c r="A48" s="1" t="s">
        <v>241</v>
      </c>
    </row>
    <row r="49" spans="1:1" x14ac:dyDescent="0.2">
      <c r="A49" s="1" t="s">
        <v>250</v>
      </c>
    </row>
    <row r="50" spans="1:1" x14ac:dyDescent="0.2">
      <c r="A50" s="1" t="s">
        <v>252</v>
      </c>
    </row>
    <row r="51" spans="1:1" x14ac:dyDescent="0.2">
      <c r="A51" s="1" t="s">
        <v>258</v>
      </c>
    </row>
    <row r="52" spans="1:1" x14ac:dyDescent="0.2">
      <c r="A52" s="1" t="s">
        <v>262</v>
      </c>
    </row>
    <row r="53" spans="1:1" x14ac:dyDescent="0.2">
      <c r="A53" s="1" t="s">
        <v>283</v>
      </c>
    </row>
    <row r="54" spans="1:1" x14ac:dyDescent="0.2">
      <c r="A54" s="1" t="s">
        <v>286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V2785"/>
  <sheetViews>
    <sheetView workbookViewId="0">
      <pane ySplit="1" topLeftCell="A2" activePane="bottomLeft" state="frozen"/>
      <selection pane="bottomLeft" activeCell="A2" sqref="A2"/>
    </sheetView>
  </sheetViews>
  <sheetFormatPr defaultRowHeight="12.75" x14ac:dyDescent="0.2"/>
  <cols>
    <col min="1" max="1" width="24" style="1" bestFit="1" customWidth="1"/>
    <col min="2" max="2" width="14.7109375" style="1" bestFit="1" customWidth="1"/>
    <col min="3" max="3" width="11.5703125" style="2" bestFit="1" customWidth="1"/>
    <col min="4" max="4" width="11.140625" style="1" bestFit="1" customWidth="1"/>
    <col min="5" max="5" width="10.7109375" style="1" bestFit="1" customWidth="1"/>
    <col min="6" max="6" width="11.140625" style="1" bestFit="1" customWidth="1"/>
    <col min="7" max="7" width="11.28515625" style="1" bestFit="1" customWidth="1"/>
    <col min="8" max="8" width="10.85546875" style="1" bestFit="1" customWidth="1"/>
    <col min="9" max="9" width="14.42578125" style="1" bestFit="1" customWidth="1"/>
    <col min="10" max="10" width="29" style="1" bestFit="1" customWidth="1"/>
    <col min="11" max="11" width="22.42578125" style="1" bestFit="1" customWidth="1"/>
    <col min="12" max="12" width="13.5703125" style="1" bestFit="1" customWidth="1"/>
    <col min="13" max="13" width="16.42578125" style="1" bestFit="1" customWidth="1"/>
    <col min="14" max="14" width="12.42578125" style="1" bestFit="1" customWidth="1"/>
    <col min="15" max="15" width="30.7109375" style="1" bestFit="1" customWidth="1"/>
    <col min="16" max="16" width="13.28515625" style="1" bestFit="1" customWidth="1"/>
    <col min="17" max="17" width="22.42578125" style="1" bestFit="1" customWidth="1"/>
    <col min="18" max="18" width="12.28515625" style="1" bestFit="1" customWidth="1"/>
    <col min="19" max="16384" width="9.140625" style="1"/>
  </cols>
  <sheetData>
    <row r="1" spans="1:22" s="3" customFormat="1" ht="54" x14ac:dyDescent="0.25">
      <c r="A1" s="3" t="s">
        <v>295</v>
      </c>
      <c r="B1" s="3" t="s">
        <v>0</v>
      </c>
      <c r="C1" s="4" t="s">
        <v>1</v>
      </c>
      <c r="D1" s="3" t="s">
        <v>294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293</v>
      </c>
      <c r="L1" s="3" t="s">
        <v>292</v>
      </c>
      <c r="M1" s="3" t="s">
        <v>291</v>
      </c>
      <c r="N1" s="3" t="s">
        <v>290</v>
      </c>
      <c r="O1" s="3" t="s">
        <v>289</v>
      </c>
      <c r="P1" s="3" t="s">
        <v>8</v>
      </c>
      <c r="Q1" s="3" t="s">
        <v>288</v>
      </c>
      <c r="R1" s="3" t="s">
        <v>287</v>
      </c>
      <c r="U1" s="3" t="s">
        <v>7</v>
      </c>
      <c r="V1" s="3" t="s">
        <v>288</v>
      </c>
    </row>
    <row r="2" spans="1:22" x14ac:dyDescent="0.2">
      <c r="A2" s="1" t="s">
        <v>9</v>
      </c>
      <c r="B2" s="1" t="s">
        <v>10</v>
      </c>
      <c r="C2" s="2">
        <v>41155</v>
      </c>
      <c r="D2" s="1">
        <v>10</v>
      </c>
      <c r="E2" s="1" t="s">
        <v>11</v>
      </c>
      <c r="I2" s="1" t="s">
        <v>12</v>
      </c>
      <c r="J2" s="1" t="s">
        <v>13</v>
      </c>
      <c r="K2" s="1" t="s">
        <v>14</v>
      </c>
      <c r="L2" s="1" t="s">
        <v>12</v>
      </c>
      <c r="M2" s="1" t="s">
        <v>12</v>
      </c>
      <c r="N2" s="1">
        <v>15.06</v>
      </c>
      <c r="O2" s="1" t="s">
        <v>15</v>
      </c>
      <c r="P2" s="1">
        <v>2.2999999999999998</v>
      </c>
      <c r="Q2" s="1" t="s">
        <v>16</v>
      </c>
      <c r="R2" s="1" t="str">
        <f>IF(N2="","",VLOOKUP(N2,Prior_levels,2,TRUE))</f>
        <v>L</v>
      </c>
      <c r="U2" s="1" t="s">
        <v>13</v>
      </c>
      <c r="V2" s="1" t="s">
        <v>16</v>
      </c>
    </row>
    <row r="3" spans="1:22" x14ac:dyDescent="0.2">
      <c r="A3" s="1" t="s">
        <v>9</v>
      </c>
      <c r="B3" s="1" t="s">
        <v>10</v>
      </c>
      <c r="C3" s="2">
        <v>41155</v>
      </c>
      <c r="D3" s="1">
        <v>10</v>
      </c>
      <c r="E3" s="1" t="s">
        <v>11</v>
      </c>
      <c r="I3" s="1" t="s">
        <v>12</v>
      </c>
      <c r="J3" s="1" t="s">
        <v>13</v>
      </c>
      <c r="K3" s="1" t="s">
        <v>14</v>
      </c>
      <c r="L3" s="1" t="s">
        <v>12</v>
      </c>
      <c r="M3" s="1" t="s">
        <v>12</v>
      </c>
      <c r="N3" s="1">
        <v>15.06</v>
      </c>
      <c r="O3" s="1" t="s">
        <v>17</v>
      </c>
      <c r="P3" s="1">
        <v>0.39</v>
      </c>
      <c r="Q3" s="1" t="s">
        <v>16</v>
      </c>
      <c r="R3" s="1" t="str">
        <f>IF(N3="","",VLOOKUP(N3,Prior_levels,2,TRUE))</f>
        <v>L</v>
      </c>
      <c r="U3" s="1" t="s">
        <v>36</v>
      </c>
    </row>
    <row r="4" spans="1:22" x14ac:dyDescent="0.2">
      <c r="A4" s="1" t="s">
        <v>9</v>
      </c>
      <c r="B4" s="1" t="s">
        <v>10</v>
      </c>
      <c r="C4" s="2">
        <v>41155</v>
      </c>
      <c r="D4" s="1">
        <v>10</v>
      </c>
      <c r="E4" s="1" t="s">
        <v>11</v>
      </c>
      <c r="I4" s="1" t="s">
        <v>12</v>
      </c>
      <c r="J4" s="1" t="s">
        <v>13</v>
      </c>
      <c r="K4" s="1" t="s">
        <v>14</v>
      </c>
      <c r="L4" s="1" t="s">
        <v>12</v>
      </c>
      <c r="M4" s="1" t="s">
        <v>12</v>
      </c>
      <c r="N4" s="1">
        <v>15.06</v>
      </c>
      <c r="O4" s="1" t="s">
        <v>18</v>
      </c>
      <c r="P4" s="1">
        <v>4</v>
      </c>
      <c r="Q4" s="1" t="s">
        <v>16</v>
      </c>
      <c r="R4" s="1" t="str">
        <f>IF(N4="","",VLOOKUP(N4,Prior_levels,2,TRUE))</f>
        <v>L</v>
      </c>
      <c r="U4" s="1" t="s">
        <v>40</v>
      </c>
    </row>
    <row r="5" spans="1:22" x14ac:dyDescent="0.2">
      <c r="A5" s="1" t="s">
        <v>9</v>
      </c>
      <c r="B5" s="1" t="s">
        <v>10</v>
      </c>
      <c r="C5" s="2">
        <v>41155</v>
      </c>
      <c r="D5" s="1">
        <v>10</v>
      </c>
      <c r="E5" s="1" t="s">
        <v>11</v>
      </c>
      <c r="I5" s="1" t="s">
        <v>12</v>
      </c>
      <c r="J5" s="1" t="s">
        <v>13</v>
      </c>
      <c r="K5" s="1" t="s">
        <v>14</v>
      </c>
      <c r="L5" s="1" t="s">
        <v>12</v>
      </c>
      <c r="M5" s="1" t="s">
        <v>12</v>
      </c>
      <c r="N5" s="1">
        <v>15.06</v>
      </c>
      <c r="O5" s="1" t="s">
        <v>19</v>
      </c>
      <c r="P5" s="1">
        <v>6</v>
      </c>
      <c r="Q5" s="1" t="s">
        <v>16</v>
      </c>
      <c r="R5" s="1" t="str">
        <f>IF(N5="","",VLOOKUP(N5,Prior_levels,2,TRUE))</f>
        <v>L</v>
      </c>
      <c r="U5" s="1" t="s">
        <v>43</v>
      </c>
    </row>
    <row r="6" spans="1:22" x14ac:dyDescent="0.2">
      <c r="A6" s="1" t="s">
        <v>9</v>
      </c>
      <c r="B6" s="1" t="s">
        <v>10</v>
      </c>
      <c r="C6" s="2">
        <v>41155</v>
      </c>
      <c r="D6" s="1">
        <v>10</v>
      </c>
      <c r="E6" s="1" t="s">
        <v>11</v>
      </c>
      <c r="I6" s="1" t="s">
        <v>12</v>
      </c>
      <c r="J6" s="1" t="s">
        <v>13</v>
      </c>
      <c r="K6" s="1" t="s">
        <v>14</v>
      </c>
      <c r="L6" s="1" t="s">
        <v>12</v>
      </c>
      <c r="M6" s="1" t="s">
        <v>12</v>
      </c>
      <c r="N6" s="1">
        <v>15.06</v>
      </c>
      <c r="O6" s="1" t="s">
        <v>20</v>
      </c>
      <c r="P6" s="1">
        <v>5.5</v>
      </c>
      <c r="Q6" s="1" t="s">
        <v>16</v>
      </c>
      <c r="R6" s="1" t="str">
        <f>IF(N6="","",VLOOKUP(N6,Prior_levels,2,TRUE))</f>
        <v>L</v>
      </c>
      <c r="U6" s="1" t="s">
        <v>45</v>
      </c>
    </row>
    <row r="7" spans="1:22" x14ac:dyDescent="0.2">
      <c r="A7" s="1" t="s">
        <v>9</v>
      </c>
      <c r="B7" s="1" t="s">
        <v>10</v>
      </c>
      <c r="C7" s="2">
        <v>41155</v>
      </c>
      <c r="D7" s="1">
        <v>10</v>
      </c>
      <c r="E7" s="1" t="s">
        <v>11</v>
      </c>
      <c r="I7" s="1" t="s">
        <v>12</v>
      </c>
      <c r="J7" s="1" t="s">
        <v>13</v>
      </c>
      <c r="K7" s="1" t="s">
        <v>14</v>
      </c>
      <c r="L7" s="1" t="s">
        <v>12</v>
      </c>
      <c r="M7" s="1" t="s">
        <v>12</v>
      </c>
      <c r="N7" s="1">
        <v>15.06</v>
      </c>
      <c r="O7" s="1" t="s">
        <v>21</v>
      </c>
      <c r="P7" s="1">
        <v>7.5</v>
      </c>
      <c r="Q7" s="1" t="s">
        <v>16</v>
      </c>
      <c r="R7" s="1" t="str">
        <f>IF(N7="","",VLOOKUP(N7,Prior_levels,2,TRUE))</f>
        <v>L</v>
      </c>
      <c r="U7" s="1" t="s">
        <v>49</v>
      </c>
    </row>
    <row r="8" spans="1:22" x14ac:dyDescent="0.2">
      <c r="A8" s="1" t="s">
        <v>9</v>
      </c>
      <c r="B8" s="1" t="s">
        <v>10</v>
      </c>
      <c r="C8" s="2">
        <v>41155</v>
      </c>
      <c r="D8" s="1">
        <v>10</v>
      </c>
      <c r="E8" s="1" t="s">
        <v>11</v>
      </c>
      <c r="I8" s="1" t="s">
        <v>12</v>
      </c>
      <c r="J8" s="1" t="s">
        <v>13</v>
      </c>
      <c r="K8" s="1" t="s">
        <v>14</v>
      </c>
      <c r="L8" s="1" t="s">
        <v>12</v>
      </c>
      <c r="M8" s="1" t="s">
        <v>12</v>
      </c>
      <c r="N8" s="1">
        <v>15.06</v>
      </c>
      <c r="O8" s="1" t="s">
        <v>22</v>
      </c>
      <c r="P8" s="1">
        <v>-0.66</v>
      </c>
      <c r="Q8" s="1" t="s">
        <v>16</v>
      </c>
      <c r="R8" s="1" t="str">
        <f>IF(N8="","",VLOOKUP(N8,Prior_levels,2,TRUE))</f>
        <v>L</v>
      </c>
      <c r="U8" s="1" t="s">
        <v>56</v>
      </c>
    </row>
    <row r="9" spans="1:22" x14ac:dyDescent="0.2">
      <c r="A9" s="1" t="s">
        <v>9</v>
      </c>
      <c r="B9" s="1" t="s">
        <v>10</v>
      </c>
      <c r="C9" s="2">
        <v>41155</v>
      </c>
      <c r="D9" s="1">
        <v>10</v>
      </c>
      <c r="E9" s="1" t="s">
        <v>11</v>
      </c>
      <c r="I9" s="1" t="s">
        <v>12</v>
      </c>
      <c r="J9" s="1" t="s">
        <v>13</v>
      </c>
      <c r="K9" s="1" t="s">
        <v>14</v>
      </c>
      <c r="L9" s="1" t="s">
        <v>12</v>
      </c>
      <c r="M9" s="1" t="s">
        <v>12</v>
      </c>
      <c r="N9" s="1">
        <v>15.06</v>
      </c>
      <c r="O9" s="1" t="s">
        <v>23</v>
      </c>
      <c r="P9" s="1">
        <v>1.68</v>
      </c>
      <c r="Q9" s="1" t="s">
        <v>16</v>
      </c>
      <c r="R9" s="1" t="str">
        <f>IF(N9="","",VLOOKUP(N9,Prior_levels,2,TRUE))</f>
        <v>L</v>
      </c>
      <c r="U9" s="1" t="s">
        <v>66</v>
      </c>
    </row>
    <row r="10" spans="1:22" x14ac:dyDescent="0.2">
      <c r="A10" s="1" t="s">
        <v>9</v>
      </c>
      <c r="B10" s="1" t="s">
        <v>10</v>
      </c>
      <c r="C10" s="2">
        <v>41155</v>
      </c>
      <c r="D10" s="1">
        <v>10</v>
      </c>
      <c r="E10" s="1" t="s">
        <v>11</v>
      </c>
      <c r="I10" s="1" t="s">
        <v>12</v>
      </c>
      <c r="J10" s="1" t="s">
        <v>13</v>
      </c>
      <c r="K10" s="1" t="s">
        <v>14</v>
      </c>
      <c r="L10" s="1" t="s">
        <v>12</v>
      </c>
      <c r="M10" s="1" t="s">
        <v>12</v>
      </c>
      <c r="N10" s="1">
        <v>15.06</v>
      </c>
      <c r="O10" s="1" t="s">
        <v>24</v>
      </c>
      <c r="P10" s="1">
        <v>2.94</v>
      </c>
      <c r="Q10" s="1" t="s">
        <v>16</v>
      </c>
      <c r="R10" s="1" t="str">
        <f>IF(N10="","",VLOOKUP(N10,Prior_levels,2,TRUE))</f>
        <v>L</v>
      </c>
      <c r="U10" s="1" t="s">
        <v>74</v>
      </c>
    </row>
    <row r="11" spans="1:22" x14ac:dyDescent="0.2">
      <c r="A11" s="1" t="s">
        <v>9</v>
      </c>
      <c r="B11" s="1" t="s">
        <v>10</v>
      </c>
      <c r="C11" s="2">
        <v>41155</v>
      </c>
      <c r="D11" s="1">
        <v>10</v>
      </c>
      <c r="E11" s="1" t="s">
        <v>11</v>
      </c>
      <c r="I11" s="1" t="s">
        <v>12</v>
      </c>
      <c r="J11" s="1" t="s">
        <v>13</v>
      </c>
      <c r="K11" s="1" t="s">
        <v>14</v>
      </c>
      <c r="L11" s="1" t="s">
        <v>12</v>
      </c>
      <c r="M11" s="1" t="s">
        <v>12</v>
      </c>
      <c r="N11" s="1">
        <v>15.06</v>
      </c>
      <c r="O11" s="1" t="s">
        <v>25</v>
      </c>
      <c r="P11" s="1">
        <v>-1.1299999999999999</v>
      </c>
      <c r="Q11" s="1" t="s">
        <v>16</v>
      </c>
      <c r="R11" s="1" t="str">
        <f>IF(N11="","",VLOOKUP(N11,Prior_levels,2,TRUE))</f>
        <v>L</v>
      </c>
      <c r="U11" s="1" t="s">
        <v>86</v>
      </c>
    </row>
    <row r="12" spans="1:22" x14ac:dyDescent="0.2">
      <c r="A12" s="1" t="s">
        <v>9</v>
      </c>
      <c r="B12" s="1" t="s">
        <v>10</v>
      </c>
      <c r="C12" s="2">
        <v>41155</v>
      </c>
      <c r="D12" s="1">
        <v>10</v>
      </c>
      <c r="E12" s="1" t="s">
        <v>11</v>
      </c>
      <c r="I12" s="1" t="s">
        <v>12</v>
      </c>
      <c r="J12" s="1" t="s">
        <v>13</v>
      </c>
      <c r="K12" s="1" t="s">
        <v>14</v>
      </c>
      <c r="L12" s="1" t="s">
        <v>12</v>
      </c>
      <c r="M12" s="1" t="s">
        <v>12</v>
      </c>
      <c r="N12" s="1">
        <v>15.06</v>
      </c>
      <c r="O12" s="1" t="s">
        <v>26</v>
      </c>
      <c r="P12" s="1">
        <v>1</v>
      </c>
      <c r="Q12" s="1" t="s">
        <v>16</v>
      </c>
      <c r="R12" s="1" t="str">
        <f>IF(N12="","",VLOOKUP(N12,Prior_levels,2,TRUE))</f>
        <v>L</v>
      </c>
      <c r="U12" s="1" t="s">
        <v>93</v>
      </c>
    </row>
    <row r="13" spans="1:22" x14ac:dyDescent="0.2">
      <c r="A13" s="1" t="s">
        <v>9</v>
      </c>
      <c r="B13" s="1" t="s">
        <v>10</v>
      </c>
      <c r="C13" s="2">
        <v>41155</v>
      </c>
      <c r="D13" s="1">
        <v>10</v>
      </c>
      <c r="E13" s="1" t="s">
        <v>11</v>
      </c>
      <c r="I13" s="1" t="s">
        <v>12</v>
      </c>
      <c r="J13" s="1" t="s">
        <v>13</v>
      </c>
      <c r="K13" s="1" t="s">
        <v>14</v>
      </c>
      <c r="L13" s="1" t="s">
        <v>12</v>
      </c>
      <c r="M13" s="1" t="s">
        <v>12</v>
      </c>
      <c r="N13" s="1">
        <v>15.06</v>
      </c>
      <c r="O13" s="1" t="s">
        <v>27</v>
      </c>
      <c r="P13" s="1" t="s">
        <v>28</v>
      </c>
      <c r="Q13" s="1" t="s">
        <v>16</v>
      </c>
      <c r="R13" s="1" t="str">
        <f>IF(N13="","",VLOOKUP(N13,Prior_levels,2,TRUE))</f>
        <v>L</v>
      </c>
      <c r="U13" s="1" t="s">
        <v>104</v>
      </c>
    </row>
    <row r="14" spans="1:22" x14ac:dyDescent="0.2">
      <c r="A14" s="1" t="s">
        <v>9</v>
      </c>
      <c r="B14" s="1" t="s">
        <v>10</v>
      </c>
      <c r="C14" s="2">
        <v>41155</v>
      </c>
      <c r="D14" s="1">
        <v>10</v>
      </c>
      <c r="E14" s="1" t="s">
        <v>11</v>
      </c>
      <c r="I14" s="1" t="s">
        <v>12</v>
      </c>
      <c r="J14" s="1" t="s">
        <v>13</v>
      </c>
      <c r="K14" s="1" t="s">
        <v>14</v>
      </c>
      <c r="L14" s="1" t="s">
        <v>12</v>
      </c>
      <c r="M14" s="1" t="s">
        <v>12</v>
      </c>
      <c r="N14" s="1">
        <v>15.06</v>
      </c>
      <c r="O14" s="1" t="s">
        <v>29</v>
      </c>
      <c r="P14" s="1" t="s">
        <v>28</v>
      </c>
      <c r="Q14" s="1" t="s">
        <v>16</v>
      </c>
      <c r="R14" s="1" t="str">
        <f>IF(N14="","",VLOOKUP(N14,Prior_levels,2,TRUE))</f>
        <v>L</v>
      </c>
      <c r="U14" s="1" t="s">
        <v>110</v>
      </c>
    </row>
    <row r="15" spans="1:22" x14ac:dyDescent="0.2">
      <c r="A15" s="1" t="s">
        <v>9</v>
      </c>
      <c r="B15" s="1" t="s">
        <v>10</v>
      </c>
      <c r="C15" s="2">
        <v>41155</v>
      </c>
      <c r="D15" s="1">
        <v>10</v>
      </c>
      <c r="E15" s="1" t="s">
        <v>11</v>
      </c>
      <c r="I15" s="1" t="s">
        <v>12</v>
      </c>
      <c r="J15" s="1" t="s">
        <v>13</v>
      </c>
      <c r="K15" s="1" t="s">
        <v>14</v>
      </c>
      <c r="L15" s="1" t="s">
        <v>12</v>
      </c>
      <c r="M15" s="1" t="s">
        <v>12</v>
      </c>
      <c r="N15" s="1">
        <v>15.06</v>
      </c>
      <c r="O15" s="1" t="s">
        <v>30</v>
      </c>
      <c r="P15" s="1" t="s">
        <v>28</v>
      </c>
      <c r="Q15" s="1" t="s">
        <v>16</v>
      </c>
      <c r="R15" s="1" t="str">
        <f>IF(N15="","",VLOOKUP(N15,Prior_levels,2,TRUE))</f>
        <v>L</v>
      </c>
      <c r="U15" s="1" t="s">
        <v>114</v>
      </c>
    </row>
    <row r="16" spans="1:22" x14ac:dyDescent="0.2">
      <c r="A16" s="1" t="s">
        <v>9</v>
      </c>
      <c r="B16" s="1" t="s">
        <v>10</v>
      </c>
      <c r="C16" s="2">
        <v>41155</v>
      </c>
      <c r="D16" s="1">
        <v>10</v>
      </c>
      <c r="E16" s="1" t="s">
        <v>11</v>
      </c>
      <c r="I16" s="1" t="s">
        <v>12</v>
      </c>
      <c r="J16" s="1" t="s">
        <v>13</v>
      </c>
      <c r="K16" s="1" t="s">
        <v>14</v>
      </c>
      <c r="L16" s="1" t="s">
        <v>12</v>
      </c>
      <c r="M16" s="1" t="s">
        <v>12</v>
      </c>
      <c r="N16" s="1">
        <v>15.06</v>
      </c>
      <c r="O16" s="1" t="s">
        <v>31</v>
      </c>
      <c r="P16" s="1" t="s">
        <v>28</v>
      </c>
      <c r="Q16" s="1" t="s">
        <v>16</v>
      </c>
      <c r="R16" s="1" t="str">
        <f>IF(N16="","",VLOOKUP(N16,Prior_levels,2,TRUE))</f>
        <v>L</v>
      </c>
      <c r="U16" s="1" t="s">
        <v>127</v>
      </c>
    </row>
    <row r="17" spans="1:21" x14ac:dyDescent="0.2">
      <c r="A17" s="1" t="s">
        <v>9</v>
      </c>
      <c r="B17" s="1" t="s">
        <v>10</v>
      </c>
      <c r="C17" s="2">
        <v>41155</v>
      </c>
      <c r="D17" s="1">
        <v>10</v>
      </c>
      <c r="E17" s="1" t="s">
        <v>11</v>
      </c>
      <c r="I17" s="1" t="s">
        <v>12</v>
      </c>
      <c r="J17" s="1" t="s">
        <v>13</v>
      </c>
      <c r="K17" s="1" t="s">
        <v>14</v>
      </c>
      <c r="L17" s="1" t="s">
        <v>12</v>
      </c>
      <c r="M17" s="1" t="s">
        <v>12</v>
      </c>
      <c r="N17" s="1">
        <v>15.06</v>
      </c>
      <c r="O17" s="1" t="s">
        <v>32</v>
      </c>
      <c r="P17" s="1" t="s">
        <v>28</v>
      </c>
      <c r="Q17" s="1" t="s">
        <v>16</v>
      </c>
      <c r="R17" s="1" t="str">
        <f>IF(N17="","",VLOOKUP(N17,Prior_levels,2,TRUE))</f>
        <v>L</v>
      </c>
      <c r="U17" s="1" t="s">
        <v>130</v>
      </c>
    </row>
    <row r="18" spans="1:21" x14ac:dyDescent="0.2">
      <c r="A18" s="1" t="s">
        <v>33</v>
      </c>
      <c r="B18" s="1" t="s">
        <v>10</v>
      </c>
      <c r="C18" s="2">
        <v>41155</v>
      </c>
      <c r="D18" s="1">
        <v>10</v>
      </c>
      <c r="E18" s="1" t="s">
        <v>34</v>
      </c>
      <c r="G18" s="1" t="s">
        <v>35</v>
      </c>
      <c r="I18" s="1" t="s">
        <v>12</v>
      </c>
      <c r="J18" s="1" t="s">
        <v>36</v>
      </c>
      <c r="K18" s="1" t="s">
        <v>14</v>
      </c>
      <c r="L18" s="1" t="s">
        <v>12</v>
      </c>
      <c r="M18" s="1" t="s">
        <v>12</v>
      </c>
      <c r="N18" s="1">
        <v>33.18</v>
      </c>
      <c r="O18" s="1" t="s">
        <v>15</v>
      </c>
      <c r="P18" s="1">
        <v>5.5</v>
      </c>
      <c r="Q18" s="1" t="s">
        <v>16</v>
      </c>
      <c r="R18" s="1" t="str">
        <f>IF(N18="","",VLOOKUP(N18,Prior_levels,2,TRUE))</f>
        <v>H</v>
      </c>
      <c r="U18" s="1" t="s">
        <v>134</v>
      </c>
    </row>
    <row r="19" spans="1:21" x14ac:dyDescent="0.2">
      <c r="A19" s="1" t="s">
        <v>33</v>
      </c>
      <c r="B19" s="1" t="s">
        <v>10</v>
      </c>
      <c r="C19" s="2">
        <v>41155</v>
      </c>
      <c r="D19" s="1">
        <v>10</v>
      </c>
      <c r="E19" s="1" t="s">
        <v>34</v>
      </c>
      <c r="G19" s="1" t="s">
        <v>35</v>
      </c>
      <c r="I19" s="1" t="s">
        <v>12</v>
      </c>
      <c r="J19" s="1" t="s">
        <v>36</v>
      </c>
      <c r="K19" s="1" t="s">
        <v>14</v>
      </c>
      <c r="L19" s="1" t="s">
        <v>12</v>
      </c>
      <c r="M19" s="1" t="s">
        <v>12</v>
      </c>
      <c r="N19" s="1">
        <v>33.18</v>
      </c>
      <c r="O19" s="1" t="s">
        <v>17</v>
      </c>
      <c r="P19" s="1">
        <v>-1.05</v>
      </c>
      <c r="Q19" s="1" t="s">
        <v>16</v>
      </c>
      <c r="R19" s="1" t="str">
        <f>IF(N19="","",VLOOKUP(N19,Prior_levels,2,TRUE))</f>
        <v>H</v>
      </c>
      <c r="U19" s="1" t="s">
        <v>136</v>
      </c>
    </row>
    <row r="20" spans="1:21" x14ac:dyDescent="0.2">
      <c r="A20" s="1" t="s">
        <v>33</v>
      </c>
      <c r="B20" s="1" t="s">
        <v>10</v>
      </c>
      <c r="C20" s="2">
        <v>41155</v>
      </c>
      <c r="D20" s="1">
        <v>10</v>
      </c>
      <c r="E20" s="1" t="s">
        <v>34</v>
      </c>
      <c r="G20" s="1" t="s">
        <v>35</v>
      </c>
      <c r="I20" s="1" t="s">
        <v>12</v>
      </c>
      <c r="J20" s="1" t="s">
        <v>36</v>
      </c>
      <c r="K20" s="1" t="s">
        <v>14</v>
      </c>
      <c r="L20" s="1" t="s">
        <v>12</v>
      </c>
      <c r="M20" s="1" t="s">
        <v>12</v>
      </c>
      <c r="N20" s="1">
        <v>33.18</v>
      </c>
      <c r="O20" s="1" t="s">
        <v>18</v>
      </c>
      <c r="P20" s="1">
        <v>10</v>
      </c>
      <c r="Q20" s="1" t="s">
        <v>16</v>
      </c>
      <c r="R20" s="1" t="str">
        <f>IF(N20="","",VLOOKUP(N20,Prior_levels,2,TRUE))</f>
        <v>H</v>
      </c>
      <c r="U20" s="1" t="s">
        <v>141</v>
      </c>
    </row>
    <row r="21" spans="1:21" x14ac:dyDescent="0.2">
      <c r="A21" s="1" t="s">
        <v>33</v>
      </c>
      <c r="B21" s="1" t="s">
        <v>10</v>
      </c>
      <c r="C21" s="2">
        <v>41155</v>
      </c>
      <c r="D21" s="1">
        <v>10</v>
      </c>
      <c r="E21" s="1" t="s">
        <v>34</v>
      </c>
      <c r="G21" s="1" t="s">
        <v>35</v>
      </c>
      <c r="I21" s="1" t="s">
        <v>12</v>
      </c>
      <c r="J21" s="1" t="s">
        <v>36</v>
      </c>
      <c r="K21" s="1" t="s">
        <v>14</v>
      </c>
      <c r="L21" s="1" t="s">
        <v>12</v>
      </c>
      <c r="M21" s="1" t="s">
        <v>12</v>
      </c>
      <c r="N21" s="1">
        <v>33.18</v>
      </c>
      <c r="O21" s="1" t="s">
        <v>19</v>
      </c>
      <c r="P21" s="1">
        <v>14</v>
      </c>
      <c r="Q21" s="1" t="s">
        <v>16</v>
      </c>
      <c r="R21" s="1" t="str">
        <f>IF(N21="","",VLOOKUP(N21,Prior_levels,2,TRUE))</f>
        <v>H</v>
      </c>
      <c r="U21" s="1" t="s">
        <v>145</v>
      </c>
    </row>
    <row r="22" spans="1:21" x14ac:dyDescent="0.2">
      <c r="A22" s="1" t="s">
        <v>33</v>
      </c>
      <c r="B22" s="1" t="s">
        <v>10</v>
      </c>
      <c r="C22" s="2">
        <v>41155</v>
      </c>
      <c r="D22" s="1">
        <v>10</v>
      </c>
      <c r="E22" s="1" t="s">
        <v>34</v>
      </c>
      <c r="G22" s="1" t="s">
        <v>35</v>
      </c>
      <c r="I22" s="1" t="s">
        <v>12</v>
      </c>
      <c r="J22" s="1" t="s">
        <v>36</v>
      </c>
      <c r="K22" s="1" t="s">
        <v>14</v>
      </c>
      <c r="L22" s="1" t="s">
        <v>12</v>
      </c>
      <c r="M22" s="1" t="s">
        <v>12</v>
      </c>
      <c r="N22" s="1">
        <v>33.18</v>
      </c>
      <c r="O22" s="1" t="s">
        <v>20</v>
      </c>
      <c r="P22" s="1">
        <v>18</v>
      </c>
      <c r="Q22" s="1" t="s">
        <v>16</v>
      </c>
      <c r="R22" s="1" t="str">
        <f>IF(N22="","",VLOOKUP(N22,Prior_levels,2,TRUE))</f>
        <v>H</v>
      </c>
      <c r="U22" s="1" t="s">
        <v>151</v>
      </c>
    </row>
    <row r="23" spans="1:21" x14ac:dyDescent="0.2">
      <c r="A23" s="1" t="s">
        <v>33</v>
      </c>
      <c r="B23" s="1" t="s">
        <v>10</v>
      </c>
      <c r="C23" s="2">
        <v>41155</v>
      </c>
      <c r="D23" s="1">
        <v>10</v>
      </c>
      <c r="E23" s="1" t="s">
        <v>34</v>
      </c>
      <c r="G23" s="1" t="s">
        <v>35</v>
      </c>
      <c r="I23" s="1" t="s">
        <v>12</v>
      </c>
      <c r="J23" s="1" t="s">
        <v>36</v>
      </c>
      <c r="K23" s="1" t="s">
        <v>14</v>
      </c>
      <c r="L23" s="1" t="s">
        <v>12</v>
      </c>
      <c r="M23" s="1" t="s">
        <v>12</v>
      </c>
      <c r="N23" s="1">
        <v>33.18</v>
      </c>
      <c r="O23" s="1" t="s">
        <v>21</v>
      </c>
      <c r="P23" s="1">
        <v>13</v>
      </c>
      <c r="Q23" s="1" t="s">
        <v>16</v>
      </c>
      <c r="R23" s="1" t="str">
        <f>IF(N23="","",VLOOKUP(N23,Prior_levels,2,TRUE))</f>
        <v>H</v>
      </c>
      <c r="U23" s="1" t="s">
        <v>156</v>
      </c>
    </row>
    <row r="24" spans="1:21" x14ac:dyDescent="0.2">
      <c r="A24" s="1" t="s">
        <v>33</v>
      </c>
      <c r="B24" s="1" t="s">
        <v>10</v>
      </c>
      <c r="C24" s="2">
        <v>41155</v>
      </c>
      <c r="D24" s="1">
        <v>10</v>
      </c>
      <c r="E24" s="1" t="s">
        <v>34</v>
      </c>
      <c r="G24" s="1" t="s">
        <v>35</v>
      </c>
      <c r="I24" s="1" t="s">
        <v>12</v>
      </c>
      <c r="J24" s="1" t="s">
        <v>36</v>
      </c>
      <c r="K24" s="1" t="s">
        <v>14</v>
      </c>
      <c r="L24" s="1" t="s">
        <v>12</v>
      </c>
      <c r="M24" s="1" t="s">
        <v>12</v>
      </c>
      <c r="N24" s="1">
        <v>33.18</v>
      </c>
      <c r="O24" s="1" t="s">
        <v>22</v>
      </c>
      <c r="P24" s="1">
        <v>-1.64</v>
      </c>
      <c r="Q24" s="1" t="s">
        <v>16</v>
      </c>
      <c r="R24" s="1" t="str">
        <f>IF(N24="","",VLOOKUP(N24,Prior_levels,2,TRUE))</f>
        <v>H</v>
      </c>
      <c r="U24" s="1" t="s">
        <v>159</v>
      </c>
    </row>
    <row r="25" spans="1:21" x14ac:dyDescent="0.2">
      <c r="A25" s="1" t="s">
        <v>33</v>
      </c>
      <c r="B25" s="1" t="s">
        <v>10</v>
      </c>
      <c r="C25" s="2">
        <v>41155</v>
      </c>
      <c r="D25" s="1">
        <v>10</v>
      </c>
      <c r="E25" s="1" t="s">
        <v>34</v>
      </c>
      <c r="G25" s="1" t="s">
        <v>35</v>
      </c>
      <c r="I25" s="1" t="s">
        <v>12</v>
      </c>
      <c r="J25" s="1" t="s">
        <v>36</v>
      </c>
      <c r="K25" s="1" t="s">
        <v>14</v>
      </c>
      <c r="L25" s="1" t="s">
        <v>12</v>
      </c>
      <c r="M25" s="1" t="s">
        <v>12</v>
      </c>
      <c r="N25" s="1">
        <v>33.18</v>
      </c>
      <c r="O25" s="1" t="s">
        <v>23</v>
      </c>
      <c r="P25" s="1">
        <v>0.34</v>
      </c>
      <c r="Q25" s="1" t="s">
        <v>16</v>
      </c>
      <c r="R25" s="1" t="str">
        <f>IF(N25="","",VLOOKUP(N25,Prior_levels,2,TRUE))</f>
        <v>H</v>
      </c>
      <c r="U25" s="1" t="s">
        <v>166</v>
      </c>
    </row>
    <row r="26" spans="1:21" x14ac:dyDescent="0.2">
      <c r="A26" s="1" t="s">
        <v>33</v>
      </c>
      <c r="B26" s="1" t="s">
        <v>10</v>
      </c>
      <c r="C26" s="2">
        <v>41155</v>
      </c>
      <c r="D26" s="1">
        <v>10</v>
      </c>
      <c r="E26" s="1" t="s">
        <v>34</v>
      </c>
      <c r="G26" s="1" t="s">
        <v>35</v>
      </c>
      <c r="I26" s="1" t="s">
        <v>12</v>
      </c>
      <c r="J26" s="1" t="s">
        <v>36</v>
      </c>
      <c r="K26" s="1" t="s">
        <v>14</v>
      </c>
      <c r="L26" s="1" t="s">
        <v>12</v>
      </c>
      <c r="M26" s="1" t="s">
        <v>12</v>
      </c>
      <c r="N26" s="1">
        <v>33.18</v>
      </c>
      <c r="O26" s="1" t="s">
        <v>24</v>
      </c>
      <c r="P26" s="1">
        <v>-1.27</v>
      </c>
      <c r="Q26" s="1" t="s">
        <v>16</v>
      </c>
      <c r="R26" s="1" t="str">
        <f>IF(N26="","",VLOOKUP(N26,Prior_levels,2,TRUE))</f>
        <v>H</v>
      </c>
      <c r="U26" s="1" t="s">
        <v>168</v>
      </c>
    </row>
    <row r="27" spans="1:21" x14ac:dyDescent="0.2">
      <c r="A27" s="1" t="s">
        <v>33</v>
      </c>
      <c r="B27" s="1" t="s">
        <v>10</v>
      </c>
      <c r="C27" s="2">
        <v>41155</v>
      </c>
      <c r="D27" s="1">
        <v>10</v>
      </c>
      <c r="E27" s="1" t="s">
        <v>34</v>
      </c>
      <c r="G27" s="1" t="s">
        <v>35</v>
      </c>
      <c r="I27" s="1" t="s">
        <v>12</v>
      </c>
      <c r="J27" s="1" t="s">
        <v>36</v>
      </c>
      <c r="K27" s="1" t="s">
        <v>14</v>
      </c>
      <c r="L27" s="1" t="s">
        <v>12</v>
      </c>
      <c r="M27" s="1" t="s">
        <v>12</v>
      </c>
      <c r="N27" s="1">
        <v>33.18</v>
      </c>
      <c r="O27" s="1" t="s">
        <v>25</v>
      </c>
      <c r="P27" s="1">
        <v>-6.62</v>
      </c>
      <c r="Q27" s="1" t="s">
        <v>16</v>
      </c>
      <c r="R27" s="1" t="str">
        <f>IF(N27="","",VLOOKUP(N27,Prior_levels,2,TRUE))</f>
        <v>H</v>
      </c>
      <c r="U27" s="1" t="s">
        <v>171</v>
      </c>
    </row>
    <row r="28" spans="1:21" x14ac:dyDescent="0.2">
      <c r="A28" s="1" t="s">
        <v>33</v>
      </c>
      <c r="B28" s="1" t="s">
        <v>10</v>
      </c>
      <c r="C28" s="2">
        <v>41155</v>
      </c>
      <c r="D28" s="1">
        <v>10</v>
      </c>
      <c r="E28" s="1" t="s">
        <v>34</v>
      </c>
      <c r="G28" s="1" t="s">
        <v>35</v>
      </c>
      <c r="I28" s="1" t="s">
        <v>12</v>
      </c>
      <c r="J28" s="1" t="s">
        <v>36</v>
      </c>
      <c r="K28" s="1" t="s">
        <v>14</v>
      </c>
      <c r="L28" s="1" t="s">
        <v>12</v>
      </c>
      <c r="M28" s="1" t="s">
        <v>12</v>
      </c>
      <c r="N28" s="1">
        <v>33.18</v>
      </c>
      <c r="O28" s="1" t="s">
        <v>26</v>
      </c>
      <c r="P28" s="1">
        <v>9</v>
      </c>
      <c r="Q28" s="1" t="s">
        <v>16</v>
      </c>
      <c r="R28" s="1" t="str">
        <f>IF(N28="","",VLOOKUP(N28,Prior_levels,2,TRUE))</f>
        <v>H</v>
      </c>
      <c r="U28" s="1" t="s">
        <v>118</v>
      </c>
    </row>
    <row r="29" spans="1:21" x14ac:dyDescent="0.2">
      <c r="A29" s="1" t="s">
        <v>33</v>
      </c>
      <c r="B29" s="1" t="s">
        <v>10</v>
      </c>
      <c r="C29" s="2">
        <v>41155</v>
      </c>
      <c r="D29" s="1">
        <v>10</v>
      </c>
      <c r="E29" s="1" t="s">
        <v>34</v>
      </c>
      <c r="G29" s="1" t="s">
        <v>35</v>
      </c>
      <c r="I29" s="1" t="s">
        <v>12</v>
      </c>
      <c r="J29" s="1" t="s">
        <v>36</v>
      </c>
      <c r="K29" s="1" t="s">
        <v>14</v>
      </c>
      <c r="L29" s="1" t="s">
        <v>12</v>
      </c>
      <c r="M29" s="1" t="s">
        <v>12</v>
      </c>
      <c r="N29" s="1">
        <v>33.18</v>
      </c>
      <c r="O29" s="1" t="s">
        <v>32</v>
      </c>
      <c r="P29" s="1" t="s">
        <v>37</v>
      </c>
      <c r="Q29" s="1" t="s">
        <v>16</v>
      </c>
      <c r="R29" s="1" t="str">
        <f>IF(N29="","",VLOOKUP(N29,Prior_levels,2,TRUE))</f>
        <v>H</v>
      </c>
      <c r="U29" s="1" t="s">
        <v>175</v>
      </c>
    </row>
    <row r="30" spans="1:21" x14ac:dyDescent="0.2">
      <c r="A30" s="1" t="s">
        <v>33</v>
      </c>
      <c r="B30" s="1" t="s">
        <v>10</v>
      </c>
      <c r="C30" s="2">
        <v>41155</v>
      </c>
      <c r="D30" s="1">
        <v>10</v>
      </c>
      <c r="E30" s="1" t="s">
        <v>34</v>
      </c>
      <c r="G30" s="1" t="s">
        <v>35</v>
      </c>
      <c r="I30" s="1" t="s">
        <v>12</v>
      </c>
      <c r="J30" s="1" t="s">
        <v>36</v>
      </c>
      <c r="K30" s="1" t="s">
        <v>14</v>
      </c>
      <c r="L30" s="1" t="s">
        <v>12</v>
      </c>
      <c r="M30" s="1" t="s">
        <v>12</v>
      </c>
      <c r="N30" s="1">
        <v>33.18</v>
      </c>
      <c r="O30" s="1" t="s">
        <v>27</v>
      </c>
      <c r="P30" s="1" t="s">
        <v>37</v>
      </c>
      <c r="Q30" s="1" t="s">
        <v>16</v>
      </c>
      <c r="R30" s="1" t="str">
        <f>IF(N30="","",VLOOKUP(N30,Prior_levels,2,TRUE))</f>
        <v>H</v>
      </c>
      <c r="U30" s="1" t="s">
        <v>177</v>
      </c>
    </row>
    <row r="31" spans="1:21" x14ac:dyDescent="0.2">
      <c r="A31" s="1" t="s">
        <v>33</v>
      </c>
      <c r="B31" s="1" t="s">
        <v>10</v>
      </c>
      <c r="C31" s="2">
        <v>41155</v>
      </c>
      <c r="D31" s="1">
        <v>10</v>
      </c>
      <c r="E31" s="1" t="s">
        <v>34</v>
      </c>
      <c r="G31" s="1" t="s">
        <v>35</v>
      </c>
      <c r="I31" s="1" t="s">
        <v>12</v>
      </c>
      <c r="J31" s="1" t="s">
        <v>36</v>
      </c>
      <c r="K31" s="1" t="s">
        <v>14</v>
      </c>
      <c r="L31" s="1" t="s">
        <v>12</v>
      </c>
      <c r="M31" s="1" t="s">
        <v>12</v>
      </c>
      <c r="N31" s="1">
        <v>33.18</v>
      </c>
      <c r="O31" s="1" t="s">
        <v>29</v>
      </c>
      <c r="P31" s="1" t="s">
        <v>37</v>
      </c>
      <c r="Q31" s="1" t="s">
        <v>16</v>
      </c>
      <c r="R31" s="1" t="str">
        <f>IF(N31="","",VLOOKUP(N31,Prior_levels,2,TRUE))</f>
        <v>H</v>
      </c>
      <c r="U31" s="1" t="s">
        <v>181</v>
      </c>
    </row>
    <row r="32" spans="1:21" x14ac:dyDescent="0.2">
      <c r="A32" s="1" t="s">
        <v>33</v>
      </c>
      <c r="B32" s="1" t="s">
        <v>10</v>
      </c>
      <c r="C32" s="2">
        <v>41155</v>
      </c>
      <c r="D32" s="1">
        <v>10</v>
      </c>
      <c r="E32" s="1" t="s">
        <v>34</v>
      </c>
      <c r="G32" s="1" t="s">
        <v>35</v>
      </c>
      <c r="I32" s="1" t="s">
        <v>12</v>
      </c>
      <c r="J32" s="1" t="s">
        <v>36</v>
      </c>
      <c r="K32" s="1" t="s">
        <v>14</v>
      </c>
      <c r="L32" s="1" t="s">
        <v>12</v>
      </c>
      <c r="M32" s="1" t="s">
        <v>12</v>
      </c>
      <c r="N32" s="1">
        <v>33.18</v>
      </c>
      <c r="O32" s="1" t="s">
        <v>30</v>
      </c>
      <c r="P32" s="1" t="s">
        <v>37</v>
      </c>
      <c r="Q32" s="1" t="s">
        <v>16</v>
      </c>
      <c r="R32" s="1" t="str">
        <f>IF(N32="","",VLOOKUP(N32,Prior_levels,2,TRUE))</f>
        <v>H</v>
      </c>
      <c r="U32" s="1" t="s">
        <v>189</v>
      </c>
    </row>
    <row r="33" spans="1:21" x14ac:dyDescent="0.2">
      <c r="A33" s="1" t="s">
        <v>33</v>
      </c>
      <c r="B33" s="1" t="s">
        <v>10</v>
      </c>
      <c r="C33" s="2">
        <v>41155</v>
      </c>
      <c r="D33" s="1">
        <v>10</v>
      </c>
      <c r="E33" s="1" t="s">
        <v>34</v>
      </c>
      <c r="G33" s="1" t="s">
        <v>35</v>
      </c>
      <c r="I33" s="1" t="s">
        <v>12</v>
      </c>
      <c r="J33" s="1" t="s">
        <v>36</v>
      </c>
      <c r="K33" s="1" t="s">
        <v>14</v>
      </c>
      <c r="L33" s="1" t="s">
        <v>12</v>
      </c>
      <c r="M33" s="1" t="s">
        <v>12</v>
      </c>
      <c r="N33" s="1">
        <v>33.18</v>
      </c>
      <c r="O33" s="1" t="s">
        <v>31</v>
      </c>
      <c r="P33" s="1" t="s">
        <v>37</v>
      </c>
      <c r="Q33" s="1" t="s">
        <v>16</v>
      </c>
      <c r="R33" s="1" t="str">
        <f>IF(N33="","",VLOOKUP(N33,Prior_levels,2,TRUE))</f>
        <v>H</v>
      </c>
      <c r="U33" s="1" t="s">
        <v>192</v>
      </c>
    </row>
    <row r="34" spans="1:21" x14ac:dyDescent="0.2">
      <c r="A34" s="1" t="s">
        <v>38</v>
      </c>
      <c r="B34" s="1" t="s">
        <v>10</v>
      </c>
      <c r="C34" s="2">
        <v>41155</v>
      </c>
      <c r="D34" s="1">
        <v>10</v>
      </c>
      <c r="E34" s="1" t="s">
        <v>39</v>
      </c>
      <c r="I34" s="1" t="s">
        <v>12</v>
      </c>
      <c r="J34" s="1" t="s">
        <v>40</v>
      </c>
      <c r="K34" s="1" t="s">
        <v>14</v>
      </c>
      <c r="L34" s="1" t="s">
        <v>12</v>
      </c>
      <c r="M34" s="1" t="s">
        <v>12</v>
      </c>
      <c r="N34" s="1">
        <v>33.18</v>
      </c>
      <c r="O34" s="1" t="s">
        <v>15</v>
      </c>
      <c r="P34" s="1">
        <v>5.0999999999999996</v>
      </c>
      <c r="Q34" s="1" t="s">
        <v>16</v>
      </c>
      <c r="R34" s="1" t="str">
        <f>IF(N34="","",VLOOKUP(N34,Prior_levels,2,TRUE))</f>
        <v>H</v>
      </c>
      <c r="U34" s="1" t="s">
        <v>194</v>
      </c>
    </row>
    <row r="35" spans="1:21" x14ac:dyDescent="0.2">
      <c r="A35" s="1" t="s">
        <v>38</v>
      </c>
      <c r="B35" s="1" t="s">
        <v>10</v>
      </c>
      <c r="C35" s="2">
        <v>41155</v>
      </c>
      <c r="D35" s="1">
        <v>10</v>
      </c>
      <c r="E35" s="1" t="s">
        <v>39</v>
      </c>
      <c r="I35" s="1" t="s">
        <v>12</v>
      </c>
      <c r="J35" s="1" t="s">
        <v>40</v>
      </c>
      <c r="K35" s="1" t="s">
        <v>14</v>
      </c>
      <c r="L35" s="1" t="s">
        <v>12</v>
      </c>
      <c r="M35" s="1" t="s">
        <v>12</v>
      </c>
      <c r="N35" s="1">
        <v>33.18</v>
      </c>
      <c r="O35" s="1" t="s">
        <v>17</v>
      </c>
      <c r="P35" s="1">
        <v>-1.45</v>
      </c>
      <c r="Q35" s="1" t="s">
        <v>16</v>
      </c>
      <c r="R35" s="1" t="str">
        <f>IF(N35="","",VLOOKUP(N35,Prior_levels,2,TRUE))</f>
        <v>H</v>
      </c>
      <c r="U35" s="1" t="s">
        <v>196</v>
      </c>
    </row>
    <row r="36" spans="1:21" x14ac:dyDescent="0.2">
      <c r="A36" s="1" t="s">
        <v>38</v>
      </c>
      <c r="B36" s="1" t="s">
        <v>10</v>
      </c>
      <c r="C36" s="2">
        <v>41155</v>
      </c>
      <c r="D36" s="1">
        <v>10</v>
      </c>
      <c r="E36" s="1" t="s">
        <v>39</v>
      </c>
      <c r="I36" s="1" t="s">
        <v>12</v>
      </c>
      <c r="J36" s="1" t="s">
        <v>40</v>
      </c>
      <c r="K36" s="1" t="s">
        <v>14</v>
      </c>
      <c r="L36" s="1" t="s">
        <v>12</v>
      </c>
      <c r="M36" s="1" t="s">
        <v>12</v>
      </c>
      <c r="N36" s="1">
        <v>33.18</v>
      </c>
      <c r="O36" s="1" t="s">
        <v>18</v>
      </c>
      <c r="P36" s="1">
        <v>12</v>
      </c>
      <c r="Q36" s="1" t="s">
        <v>16</v>
      </c>
      <c r="R36" s="1" t="str">
        <f>IF(N36="","",VLOOKUP(N36,Prior_levels,2,TRUE))</f>
        <v>H</v>
      </c>
      <c r="U36" s="1" t="s">
        <v>160</v>
      </c>
    </row>
    <row r="37" spans="1:21" x14ac:dyDescent="0.2">
      <c r="A37" s="1" t="s">
        <v>38</v>
      </c>
      <c r="B37" s="1" t="s">
        <v>10</v>
      </c>
      <c r="C37" s="2">
        <v>41155</v>
      </c>
      <c r="D37" s="1">
        <v>10</v>
      </c>
      <c r="E37" s="1" t="s">
        <v>39</v>
      </c>
      <c r="I37" s="1" t="s">
        <v>12</v>
      </c>
      <c r="J37" s="1" t="s">
        <v>40</v>
      </c>
      <c r="K37" s="1" t="s">
        <v>14</v>
      </c>
      <c r="L37" s="1" t="s">
        <v>12</v>
      </c>
      <c r="M37" s="1" t="s">
        <v>12</v>
      </c>
      <c r="N37" s="1">
        <v>33.18</v>
      </c>
      <c r="O37" s="1" t="s">
        <v>19</v>
      </c>
      <c r="P37" s="1">
        <v>10</v>
      </c>
      <c r="Q37" s="1" t="s">
        <v>16</v>
      </c>
      <c r="R37" s="1" t="str">
        <f>IF(N37="","",VLOOKUP(N37,Prior_levels,2,TRUE))</f>
        <v>H</v>
      </c>
      <c r="U37" s="1" t="s">
        <v>201</v>
      </c>
    </row>
    <row r="38" spans="1:21" x14ac:dyDescent="0.2">
      <c r="A38" s="1" t="s">
        <v>38</v>
      </c>
      <c r="B38" s="1" t="s">
        <v>10</v>
      </c>
      <c r="C38" s="2">
        <v>41155</v>
      </c>
      <c r="D38" s="1">
        <v>10</v>
      </c>
      <c r="E38" s="1" t="s">
        <v>39</v>
      </c>
      <c r="I38" s="1" t="s">
        <v>12</v>
      </c>
      <c r="J38" s="1" t="s">
        <v>40</v>
      </c>
      <c r="K38" s="1" t="s">
        <v>14</v>
      </c>
      <c r="L38" s="1" t="s">
        <v>12</v>
      </c>
      <c r="M38" s="1" t="s">
        <v>12</v>
      </c>
      <c r="N38" s="1">
        <v>33.18</v>
      </c>
      <c r="O38" s="1" t="s">
        <v>20</v>
      </c>
      <c r="P38" s="1">
        <v>13.5</v>
      </c>
      <c r="Q38" s="1" t="s">
        <v>16</v>
      </c>
      <c r="R38" s="1" t="str">
        <f>IF(N38="","",VLOOKUP(N38,Prior_levels,2,TRUE))</f>
        <v>H</v>
      </c>
      <c r="U38" s="1" t="s">
        <v>203</v>
      </c>
    </row>
    <row r="39" spans="1:21" x14ac:dyDescent="0.2">
      <c r="A39" s="1" t="s">
        <v>38</v>
      </c>
      <c r="B39" s="1" t="s">
        <v>10</v>
      </c>
      <c r="C39" s="2">
        <v>41155</v>
      </c>
      <c r="D39" s="1">
        <v>10</v>
      </c>
      <c r="E39" s="1" t="s">
        <v>39</v>
      </c>
      <c r="I39" s="1" t="s">
        <v>12</v>
      </c>
      <c r="J39" s="1" t="s">
        <v>40</v>
      </c>
      <c r="K39" s="1" t="s">
        <v>14</v>
      </c>
      <c r="L39" s="1" t="s">
        <v>12</v>
      </c>
      <c r="M39" s="1" t="s">
        <v>12</v>
      </c>
      <c r="N39" s="1">
        <v>33.18</v>
      </c>
      <c r="O39" s="1" t="s">
        <v>21</v>
      </c>
      <c r="P39" s="1">
        <v>15.5</v>
      </c>
      <c r="Q39" s="1" t="s">
        <v>16</v>
      </c>
      <c r="R39" s="1" t="str">
        <f>IF(N39="","",VLOOKUP(N39,Prior_levels,2,TRUE))</f>
        <v>H</v>
      </c>
      <c r="U39" s="1" t="s">
        <v>206</v>
      </c>
    </row>
    <row r="40" spans="1:21" x14ac:dyDescent="0.2">
      <c r="A40" s="1" t="s">
        <v>38</v>
      </c>
      <c r="B40" s="1" t="s">
        <v>10</v>
      </c>
      <c r="C40" s="2">
        <v>41155</v>
      </c>
      <c r="D40" s="1">
        <v>10</v>
      </c>
      <c r="E40" s="1" t="s">
        <v>39</v>
      </c>
      <c r="I40" s="1" t="s">
        <v>12</v>
      </c>
      <c r="J40" s="1" t="s">
        <v>40</v>
      </c>
      <c r="K40" s="1" t="s">
        <v>14</v>
      </c>
      <c r="L40" s="1" t="s">
        <v>12</v>
      </c>
      <c r="M40" s="1" t="s">
        <v>12</v>
      </c>
      <c r="N40" s="1">
        <v>33.18</v>
      </c>
      <c r="O40" s="1" t="s">
        <v>22</v>
      </c>
      <c r="P40" s="1">
        <v>-0.64</v>
      </c>
      <c r="Q40" s="1" t="s">
        <v>16</v>
      </c>
      <c r="R40" s="1" t="str">
        <f>IF(N40="","",VLOOKUP(N40,Prior_levels,2,TRUE))</f>
        <v>H</v>
      </c>
      <c r="U40" s="1" t="s">
        <v>208</v>
      </c>
    </row>
    <row r="41" spans="1:21" x14ac:dyDescent="0.2">
      <c r="A41" s="1" t="s">
        <v>38</v>
      </c>
      <c r="B41" s="1" t="s">
        <v>10</v>
      </c>
      <c r="C41" s="2">
        <v>41155</v>
      </c>
      <c r="D41" s="1">
        <v>10</v>
      </c>
      <c r="E41" s="1" t="s">
        <v>39</v>
      </c>
      <c r="I41" s="1" t="s">
        <v>12</v>
      </c>
      <c r="J41" s="1" t="s">
        <v>40</v>
      </c>
      <c r="K41" s="1" t="s">
        <v>14</v>
      </c>
      <c r="L41" s="1" t="s">
        <v>12</v>
      </c>
      <c r="M41" s="1" t="s">
        <v>12</v>
      </c>
      <c r="N41" s="1">
        <v>33.18</v>
      </c>
      <c r="O41" s="1" t="s">
        <v>23</v>
      </c>
      <c r="P41" s="1">
        <v>-1.66</v>
      </c>
      <c r="Q41" s="1" t="s">
        <v>16</v>
      </c>
      <c r="R41" s="1" t="str">
        <f>IF(N41="","",VLOOKUP(N41,Prior_levels,2,TRUE))</f>
        <v>H</v>
      </c>
      <c r="U41" s="1" t="s">
        <v>210</v>
      </c>
    </row>
    <row r="42" spans="1:21" x14ac:dyDescent="0.2">
      <c r="A42" s="1" t="s">
        <v>38</v>
      </c>
      <c r="B42" s="1" t="s">
        <v>10</v>
      </c>
      <c r="C42" s="2">
        <v>41155</v>
      </c>
      <c r="D42" s="1">
        <v>10</v>
      </c>
      <c r="E42" s="1" t="s">
        <v>39</v>
      </c>
      <c r="I42" s="1" t="s">
        <v>12</v>
      </c>
      <c r="J42" s="1" t="s">
        <v>40</v>
      </c>
      <c r="K42" s="1" t="s">
        <v>14</v>
      </c>
      <c r="L42" s="1" t="s">
        <v>12</v>
      </c>
      <c r="M42" s="1" t="s">
        <v>12</v>
      </c>
      <c r="N42" s="1">
        <v>33.18</v>
      </c>
      <c r="O42" s="1" t="s">
        <v>24</v>
      </c>
      <c r="P42" s="1">
        <v>-5.77</v>
      </c>
      <c r="Q42" s="1" t="s">
        <v>16</v>
      </c>
      <c r="R42" s="1" t="str">
        <f>IF(N42="","",VLOOKUP(N42,Prior_levels,2,TRUE))</f>
        <v>H</v>
      </c>
      <c r="U42" s="1" t="s">
        <v>212</v>
      </c>
    </row>
    <row r="43" spans="1:21" x14ac:dyDescent="0.2">
      <c r="A43" s="1" t="s">
        <v>38</v>
      </c>
      <c r="B43" s="1" t="s">
        <v>10</v>
      </c>
      <c r="C43" s="2">
        <v>41155</v>
      </c>
      <c r="D43" s="1">
        <v>10</v>
      </c>
      <c r="E43" s="1" t="s">
        <v>39</v>
      </c>
      <c r="I43" s="1" t="s">
        <v>12</v>
      </c>
      <c r="J43" s="1" t="s">
        <v>40</v>
      </c>
      <c r="K43" s="1" t="s">
        <v>14</v>
      </c>
      <c r="L43" s="1" t="s">
        <v>12</v>
      </c>
      <c r="M43" s="1" t="s">
        <v>12</v>
      </c>
      <c r="N43" s="1">
        <v>33.18</v>
      </c>
      <c r="O43" s="1" t="s">
        <v>25</v>
      </c>
      <c r="P43" s="1">
        <v>-4.12</v>
      </c>
      <c r="Q43" s="1" t="s">
        <v>16</v>
      </c>
      <c r="R43" s="1" t="str">
        <f>IF(N43="","",VLOOKUP(N43,Prior_levels,2,TRUE))</f>
        <v>H</v>
      </c>
      <c r="U43" s="1" t="s">
        <v>215</v>
      </c>
    </row>
    <row r="44" spans="1:21" x14ac:dyDescent="0.2">
      <c r="A44" s="1" t="s">
        <v>38</v>
      </c>
      <c r="B44" s="1" t="s">
        <v>10</v>
      </c>
      <c r="C44" s="2">
        <v>41155</v>
      </c>
      <c r="D44" s="1">
        <v>10</v>
      </c>
      <c r="E44" s="1" t="s">
        <v>39</v>
      </c>
      <c r="I44" s="1" t="s">
        <v>12</v>
      </c>
      <c r="J44" s="1" t="s">
        <v>40</v>
      </c>
      <c r="K44" s="1" t="s">
        <v>14</v>
      </c>
      <c r="L44" s="1" t="s">
        <v>12</v>
      </c>
      <c r="M44" s="1" t="s">
        <v>12</v>
      </c>
      <c r="N44" s="1">
        <v>33.18</v>
      </c>
      <c r="O44" s="1" t="s">
        <v>26</v>
      </c>
      <c r="P44" s="1">
        <v>11</v>
      </c>
      <c r="Q44" s="1" t="s">
        <v>16</v>
      </c>
      <c r="R44" s="1" t="str">
        <f>IF(N44="","",VLOOKUP(N44,Prior_levels,2,TRUE))</f>
        <v>H</v>
      </c>
      <c r="U44" s="1" t="s">
        <v>219</v>
      </c>
    </row>
    <row r="45" spans="1:21" x14ac:dyDescent="0.2">
      <c r="A45" s="1" t="s">
        <v>38</v>
      </c>
      <c r="B45" s="1" t="s">
        <v>10</v>
      </c>
      <c r="C45" s="2">
        <v>41155</v>
      </c>
      <c r="D45" s="1">
        <v>10</v>
      </c>
      <c r="E45" s="1" t="s">
        <v>39</v>
      </c>
      <c r="I45" s="1" t="s">
        <v>12</v>
      </c>
      <c r="J45" s="1" t="s">
        <v>40</v>
      </c>
      <c r="K45" s="1" t="s">
        <v>14</v>
      </c>
      <c r="L45" s="1" t="s">
        <v>12</v>
      </c>
      <c r="M45" s="1" t="s">
        <v>12</v>
      </c>
      <c r="N45" s="1">
        <v>33.18</v>
      </c>
      <c r="O45" s="1" t="s">
        <v>27</v>
      </c>
      <c r="P45" s="1" t="s">
        <v>37</v>
      </c>
      <c r="Q45" s="1" t="s">
        <v>16</v>
      </c>
      <c r="R45" s="1" t="str">
        <f>IF(N45="","",VLOOKUP(N45,Prior_levels,2,TRUE))</f>
        <v>H</v>
      </c>
      <c r="U45" s="1" t="s">
        <v>221</v>
      </c>
    </row>
    <row r="46" spans="1:21" x14ac:dyDescent="0.2">
      <c r="A46" s="1" t="s">
        <v>38</v>
      </c>
      <c r="B46" s="1" t="s">
        <v>10</v>
      </c>
      <c r="C46" s="2">
        <v>41155</v>
      </c>
      <c r="D46" s="1">
        <v>10</v>
      </c>
      <c r="E46" s="1" t="s">
        <v>39</v>
      </c>
      <c r="I46" s="1" t="s">
        <v>12</v>
      </c>
      <c r="J46" s="1" t="s">
        <v>40</v>
      </c>
      <c r="K46" s="1" t="s">
        <v>14</v>
      </c>
      <c r="L46" s="1" t="s">
        <v>12</v>
      </c>
      <c r="M46" s="1" t="s">
        <v>12</v>
      </c>
      <c r="N46" s="1">
        <v>33.18</v>
      </c>
      <c r="O46" s="1" t="s">
        <v>29</v>
      </c>
      <c r="P46" s="1" t="s">
        <v>37</v>
      </c>
      <c r="Q46" s="1" t="s">
        <v>16</v>
      </c>
      <c r="R46" s="1" t="str">
        <f>IF(N46="","",VLOOKUP(N46,Prior_levels,2,TRUE))</f>
        <v>H</v>
      </c>
      <c r="U46" s="1" t="s">
        <v>227</v>
      </c>
    </row>
    <row r="47" spans="1:21" x14ac:dyDescent="0.2">
      <c r="A47" s="1" t="s">
        <v>38</v>
      </c>
      <c r="B47" s="1" t="s">
        <v>10</v>
      </c>
      <c r="C47" s="2">
        <v>41155</v>
      </c>
      <c r="D47" s="1">
        <v>10</v>
      </c>
      <c r="E47" s="1" t="s">
        <v>39</v>
      </c>
      <c r="I47" s="1" t="s">
        <v>12</v>
      </c>
      <c r="J47" s="1" t="s">
        <v>40</v>
      </c>
      <c r="K47" s="1" t="s">
        <v>14</v>
      </c>
      <c r="L47" s="1" t="s">
        <v>12</v>
      </c>
      <c r="M47" s="1" t="s">
        <v>12</v>
      </c>
      <c r="N47" s="1">
        <v>33.18</v>
      </c>
      <c r="O47" s="1" t="s">
        <v>30</v>
      </c>
      <c r="P47" s="1" t="s">
        <v>37</v>
      </c>
      <c r="Q47" s="1" t="s">
        <v>16</v>
      </c>
      <c r="R47" s="1" t="str">
        <f>IF(N47="","",VLOOKUP(N47,Prior_levels,2,TRUE))</f>
        <v>H</v>
      </c>
      <c r="U47" s="1" t="s">
        <v>231</v>
      </c>
    </row>
    <row r="48" spans="1:21" x14ac:dyDescent="0.2">
      <c r="A48" s="1" t="s">
        <v>38</v>
      </c>
      <c r="B48" s="1" t="s">
        <v>10</v>
      </c>
      <c r="C48" s="2">
        <v>41155</v>
      </c>
      <c r="D48" s="1">
        <v>10</v>
      </c>
      <c r="E48" s="1" t="s">
        <v>39</v>
      </c>
      <c r="I48" s="1" t="s">
        <v>12</v>
      </c>
      <c r="J48" s="1" t="s">
        <v>40</v>
      </c>
      <c r="K48" s="1" t="s">
        <v>14</v>
      </c>
      <c r="L48" s="1" t="s">
        <v>12</v>
      </c>
      <c r="M48" s="1" t="s">
        <v>12</v>
      </c>
      <c r="N48" s="1">
        <v>33.18</v>
      </c>
      <c r="O48" s="1" t="s">
        <v>31</v>
      </c>
      <c r="P48" s="1" t="s">
        <v>37</v>
      </c>
      <c r="Q48" s="1" t="s">
        <v>16</v>
      </c>
      <c r="R48" s="1" t="str">
        <f>IF(N48="","",VLOOKUP(N48,Prior_levels,2,TRUE))</f>
        <v>H</v>
      </c>
      <c r="U48" s="1" t="s">
        <v>237</v>
      </c>
    </row>
    <row r="49" spans="1:21" x14ac:dyDescent="0.2">
      <c r="A49" s="1" t="s">
        <v>38</v>
      </c>
      <c r="B49" s="1" t="s">
        <v>10</v>
      </c>
      <c r="C49" s="2">
        <v>41155</v>
      </c>
      <c r="D49" s="1">
        <v>10</v>
      </c>
      <c r="E49" s="1" t="s">
        <v>39</v>
      </c>
      <c r="I49" s="1" t="s">
        <v>12</v>
      </c>
      <c r="J49" s="1" t="s">
        <v>40</v>
      </c>
      <c r="K49" s="1" t="s">
        <v>14</v>
      </c>
      <c r="L49" s="1" t="s">
        <v>12</v>
      </c>
      <c r="M49" s="1" t="s">
        <v>12</v>
      </c>
      <c r="N49" s="1">
        <v>33.18</v>
      </c>
      <c r="O49" s="1" t="s">
        <v>32</v>
      </c>
      <c r="P49" s="1" t="s">
        <v>37</v>
      </c>
      <c r="Q49" s="1" t="s">
        <v>16</v>
      </c>
      <c r="R49" s="1" t="str">
        <f>IF(N49="","",VLOOKUP(N49,Prior_levels,2,TRUE))</f>
        <v>H</v>
      </c>
      <c r="U49" s="1" t="s">
        <v>241</v>
      </c>
    </row>
    <row r="50" spans="1:21" x14ac:dyDescent="0.2">
      <c r="A50" s="1" t="s">
        <v>41</v>
      </c>
      <c r="B50" s="1" t="s">
        <v>10</v>
      </c>
      <c r="C50" s="2">
        <v>41155</v>
      </c>
      <c r="D50" s="1">
        <v>10</v>
      </c>
      <c r="E50" s="1" t="s">
        <v>42</v>
      </c>
      <c r="I50" s="1" t="s">
        <v>12</v>
      </c>
      <c r="J50" s="1" t="s">
        <v>43</v>
      </c>
      <c r="K50" s="1" t="s">
        <v>14</v>
      </c>
      <c r="L50" s="1" t="s">
        <v>35</v>
      </c>
      <c r="M50" s="1" t="s">
        <v>35</v>
      </c>
      <c r="N50" s="1">
        <v>30.18</v>
      </c>
      <c r="O50" s="1" t="s">
        <v>15</v>
      </c>
      <c r="P50" s="1">
        <v>4.5</v>
      </c>
      <c r="Q50" s="1" t="s">
        <v>16</v>
      </c>
      <c r="R50" s="1" t="str">
        <f>IF(N50="","",VLOOKUP(N50,Prior_levels,2,TRUE))</f>
        <v>H</v>
      </c>
      <c r="U50" s="1" t="s">
        <v>250</v>
      </c>
    </row>
    <row r="51" spans="1:21" x14ac:dyDescent="0.2">
      <c r="A51" s="1" t="s">
        <v>41</v>
      </c>
      <c r="B51" s="1" t="s">
        <v>10</v>
      </c>
      <c r="C51" s="2">
        <v>41155</v>
      </c>
      <c r="D51" s="1">
        <v>10</v>
      </c>
      <c r="E51" s="1" t="s">
        <v>42</v>
      </c>
      <c r="I51" s="1" t="s">
        <v>12</v>
      </c>
      <c r="J51" s="1" t="s">
        <v>43</v>
      </c>
      <c r="K51" s="1" t="s">
        <v>14</v>
      </c>
      <c r="L51" s="1" t="s">
        <v>35</v>
      </c>
      <c r="M51" s="1" t="s">
        <v>35</v>
      </c>
      <c r="N51" s="1">
        <v>30.18</v>
      </c>
      <c r="O51" s="1" t="s">
        <v>17</v>
      </c>
      <c r="P51" s="1">
        <v>-1.0900000000000001</v>
      </c>
      <c r="Q51" s="1" t="s">
        <v>16</v>
      </c>
      <c r="R51" s="1" t="str">
        <f>IF(N51="","",VLOOKUP(N51,Prior_levels,2,TRUE))</f>
        <v>H</v>
      </c>
      <c r="U51" s="1" t="s">
        <v>252</v>
      </c>
    </row>
    <row r="52" spans="1:21" x14ac:dyDescent="0.2">
      <c r="A52" s="1" t="s">
        <v>41</v>
      </c>
      <c r="B52" s="1" t="s">
        <v>10</v>
      </c>
      <c r="C52" s="2">
        <v>41155</v>
      </c>
      <c r="D52" s="1">
        <v>10</v>
      </c>
      <c r="E52" s="1" t="s">
        <v>42</v>
      </c>
      <c r="I52" s="1" t="s">
        <v>12</v>
      </c>
      <c r="J52" s="1" t="s">
        <v>43</v>
      </c>
      <c r="K52" s="1" t="s">
        <v>14</v>
      </c>
      <c r="L52" s="1" t="s">
        <v>35</v>
      </c>
      <c r="M52" s="1" t="s">
        <v>35</v>
      </c>
      <c r="N52" s="1">
        <v>30.18</v>
      </c>
      <c r="O52" s="1" t="s">
        <v>18</v>
      </c>
      <c r="P52" s="1">
        <v>10</v>
      </c>
      <c r="Q52" s="1" t="s">
        <v>16</v>
      </c>
      <c r="R52" s="1" t="str">
        <f>IF(N52="","",VLOOKUP(N52,Prior_levels,2,TRUE))</f>
        <v>H</v>
      </c>
      <c r="U52" s="1" t="s">
        <v>258</v>
      </c>
    </row>
    <row r="53" spans="1:21" x14ac:dyDescent="0.2">
      <c r="A53" s="1" t="s">
        <v>41</v>
      </c>
      <c r="B53" s="1" t="s">
        <v>10</v>
      </c>
      <c r="C53" s="2">
        <v>41155</v>
      </c>
      <c r="D53" s="1">
        <v>10</v>
      </c>
      <c r="E53" s="1" t="s">
        <v>42</v>
      </c>
      <c r="I53" s="1" t="s">
        <v>12</v>
      </c>
      <c r="J53" s="1" t="s">
        <v>43</v>
      </c>
      <c r="K53" s="1" t="s">
        <v>14</v>
      </c>
      <c r="L53" s="1" t="s">
        <v>35</v>
      </c>
      <c r="M53" s="1" t="s">
        <v>35</v>
      </c>
      <c r="N53" s="1">
        <v>30.18</v>
      </c>
      <c r="O53" s="1" t="s">
        <v>19</v>
      </c>
      <c r="P53" s="1">
        <v>10</v>
      </c>
      <c r="Q53" s="1" t="s">
        <v>16</v>
      </c>
      <c r="R53" s="1" t="str">
        <f>IF(N53="","",VLOOKUP(N53,Prior_levels,2,TRUE))</f>
        <v>H</v>
      </c>
      <c r="U53" s="1" t="s">
        <v>262</v>
      </c>
    </row>
    <row r="54" spans="1:21" x14ac:dyDescent="0.2">
      <c r="A54" s="1" t="s">
        <v>41</v>
      </c>
      <c r="B54" s="1" t="s">
        <v>10</v>
      </c>
      <c r="C54" s="2">
        <v>41155</v>
      </c>
      <c r="D54" s="1">
        <v>10</v>
      </c>
      <c r="E54" s="1" t="s">
        <v>42</v>
      </c>
      <c r="I54" s="1" t="s">
        <v>12</v>
      </c>
      <c r="J54" s="1" t="s">
        <v>43</v>
      </c>
      <c r="K54" s="1" t="s">
        <v>14</v>
      </c>
      <c r="L54" s="1" t="s">
        <v>35</v>
      </c>
      <c r="M54" s="1" t="s">
        <v>35</v>
      </c>
      <c r="N54" s="1">
        <v>30.18</v>
      </c>
      <c r="O54" s="1" t="s">
        <v>20</v>
      </c>
      <c r="P54" s="1">
        <v>12</v>
      </c>
      <c r="Q54" s="1" t="s">
        <v>16</v>
      </c>
      <c r="R54" s="1" t="str">
        <f>IF(N54="","",VLOOKUP(N54,Prior_levels,2,TRUE))</f>
        <v>H</v>
      </c>
      <c r="U54" s="1" t="s">
        <v>283</v>
      </c>
    </row>
    <row r="55" spans="1:21" x14ac:dyDescent="0.2">
      <c r="A55" s="1" t="s">
        <v>41</v>
      </c>
      <c r="B55" s="1" t="s">
        <v>10</v>
      </c>
      <c r="C55" s="2">
        <v>41155</v>
      </c>
      <c r="D55" s="1">
        <v>10</v>
      </c>
      <c r="E55" s="1" t="s">
        <v>42</v>
      </c>
      <c r="I55" s="1" t="s">
        <v>12</v>
      </c>
      <c r="J55" s="1" t="s">
        <v>43</v>
      </c>
      <c r="K55" s="1" t="s">
        <v>14</v>
      </c>
      <c r="L55" s="1" t="s">
        <v>35</v>
      </c>
      <c r="M55" s="1" t="s">
        <v>35</v>
      </c>
      <c r="N55" s="1">
        <v>30.18</v>
      </c>
      <c r="O55" s="1" t="s">
        <v>21</v>
      </c>
      <c r="P55" s="1">
        <v>13</v>
      </c>
      <c r="Q55" s="1" t="s">
        <v>16</v>
      </c>
      <c r="R55" s="1" t="str">
        <f>IF(N55="","",VLOOKUP(N55,Prior_levels,2,TRUE))</f>
        <v>H</v>
      </c>
      <c r="U55" s="1" t="s">
        <v>286</v>
      </c>
    </row>
    <row r="56" spans="1:21" x14ac:dyDescent="0.2">
      <c r="A56" s="1" t="s">
        <v>41</v>
      </c>
      <c r="B56" s="1" t="s">
        <v>10</v>
      </c>
      <c r="C56" s="2">
        <v>41155</v>
      </c>
      <c r="D56" s="1">
        <v>10</v>
      </c>
      <c r="E56" s="1" t="s">
        <v>42</v>
      </c>
      <c r="I56" s="1" t="s">
        <v>12</v>
      </c>
      <c r="J56" s="1" t="s">
        <v>43</v>
      </c>
      <c r="K56" s="1" t="s">
        <v>14</v>
      </c>
      <c r="L56" s="1" t="s">
        <v>35</v>
      </c>
      <c r="M56" s="1" t="s">
        <v>35</v>
      </c>
      <c r="N56" s="1">
        <v>30.18</v>
      </c>
      <c r="O56" s="1" t="s">
        <v>22</v>
      </c>
      <c r="P56" s="1">
        <v>-0.85</v>
      </c>
      <c r="Q56" s="1" t="s">
        <v>16</v>
      </c>
      <c r="R56" s="1" t="str">
        <f>IF(N56="","",VLOOKUP(N56,Prior_levels,2,TRUE))</f>
        <v>H</v>
      </c>
    </row>
    <row r="57" spans="1:21" x14ac:dyDescent="0.2">
      <c r="A57" s="1" t="s">
        <v>41</v>
      </c>
      <c r="B57" s="1" t="s">
        <v>10</v>
      </c>
      <c r="C57" s="2">
        <v>41155</v>
      </c>
      <c r="D57" s="1">
        <v>10</v>
      </c>
      <c r="E57" s="1" t="s">
        <v>42</v>
      </c>
      <c r="I57" s="1" t="s">
        <v>12</v>
      </c>
      <c r="J57" s="1" t="s">
        <v>43</v>
      </c>
      <c r="K57" s="1" t="s">
        <v>14</v>
      </c>
      <c r="L57" s="1" t="s">
        <v>35</v>
      </c>
      <c r="M57" s="1" t="s">
        <v>35</v>
      </c>
      <c r="N57" s="1">
        <v>30.18</v>
      </c>
      <c r="O57" s="1" t="s">
        <v>23</v>
      </c>
      <c r="P57" s="1">
        <v>-0.63</v>
      </c>
      <c r="Q57" s="1" t="s">
        <v>16</v>
      </c>
      <c r="R57" s="1" t="str">
        <f>IF(N57="","",VLOOKUP(N57,Prior_levels,2,TRUE))</f>
        <v>H</v>
      </c>
    </row>
    <row r="58" spans="1:21" x14ac:dyDescent="0.2">
      <c r="A58" s="1" t="s">
        <v>41</v>
      </c>
      <c r="B58" s="1" t="s">
        <v>10</v>
      </c>
      <c r="C58" s="2">
        <v>41155</v>
      </c>
      <c r="D58" s="1">
        <v>10</v>
      </c>
      <c r="E58" s="1" t="s">
        <v>42</v>
      </c>
      <c r="I58" s="1" t="s">
        <v>12</v>
      </c>
      <c r="J58" s="1" t="s">
        <v>43</v>
      </c>
      <c r="K58" s="1" t="s">
        <v>14</v>
      </c>
      <c r="L58" s="1" t="s">
        <v>35</v>
      </c>
      <c r="M58" s="1" t="s">
        <v>35</v>
      </c>
      <c r="N58" s="1">
        <v>30.18</v>
      </c>
      <c r="O58" s="1" t="s">
        <v>24</v>
      </c>
      <c r="P58" s="1">
        <v>-3.71</v>
      </c>
      <c r="Q58" s="1" t="s">
        <v>16</v>
      </c>
      <c r="R58" s="1" t="str">
        <f>IF(N58="","",VLOOKUP(N58,Prior_levels,2,TRUE))</f>
        <v>H</v>
      </c>
    </row>
    <row r="59" spans="1:21" x14ac:dyDescent="0.2">
      <c r="A59" s="1" t="s">
        <v>41</v>
      </c>
      <c r="B59" s="1" t="s">
        <v>10</v>
      </c>
      <c r="C59" s="2">
        <v>41155</v>
      </c>
      <c r="D59" s="1">
        <v>10</v>
      </c>
      <c r="E59" s="1" t="s">
        <v>42</v>
      </c>
      <c r="I59" s="1" t="s">
        <v>12</v>
      </c>
      <c r="J59" s="1" t="s">
        <v>43</v>
      </c>
      <c r="K59" s="1" t="s">
        <v>14</v>
      </c>
      <c r="L59" s="1" t="s">
        <v>35</v>
      </c>
      <c r="M59" s="1" t="s">
        <v>35</v>
      </c>
      <c r="N59" s="1">
        <v>30.18</v>
      </c>
      <c r="O59" s="1" t="s">
        <v>25</v>
      </c>
      <c r="P59" s="1">
        <v>-4.21</v>
      </c>
      <c r="Q59" s="1" t="s">
        <v>16</v>
      </c>
      <c r="R59" s="1" t="str">
        <f>IF(N59="","",VLOOKUP(N59,Prior_levels,2,TRUE))</f>
        <v>H</v>
      </c>
    </row>
    <row r="60" spans="1:21" x14ac:dyDescent="0.2">
      <c r="A60" s="1" t="s">
        <v>41</v>
      </c>
      <c r="B60" s="1" t="s">
        <v>10</v>
      </c>
      <c r="C60" s="2">
        <v>41155</v>
      </c>
      <c r="D60" s="1">
        <v>10</v>
      </c>
      <c r="E60" s="1" t="s">
        <v>42</v>
      </c>
      <c r="I60" s="1" t="s">
        <v>12</v>
      </c>
      <c r="J60" s="1" t="s">
        <v>43</v>
      </c>
      <c r="K60" s="1" t="s">
        <v>14</v>
      </c>
      <c r="L60" s="1" t="s">
        <v>35</v>
      </c>
      <c r="M60" s="1" t="s">
        <v>35</v>
      </c>
      <c r="N60" s="1">
        <v>30.18</v>
      </c>
      <c r="O60" s="1" t="s">
        <v>26</v>
      </c>
      <c r="P60" s="1">
        <v>9</v>
      </c>
      <c r="Q60" s="1" t="s">
        <v>16</v>
      </c>
      <c r="R60" s="1" t="str">
        <f>IF(N60="","",VLOOKUP(N60,Prior_levels,2,TRUE))</f>
        <v>H</v>
      </c>
    </row>
    <row r="61" spans="1:21" x14ac:dyDescent="0.2">
      <c r="A61" s="1" t="s">
        <v>41</v>
      </c>
      <c r="B61" s="1" t="s">
        <v>10</v>
      </c>
      <c r="C61" s="2">
        <v>41155</v>
      </c>
      <c r="D61" s="1">
        <v>10</v>
      </c>
      <c r="E61" s="1" t="s">
        <v>42</v>
      </c>
      <c r="I61" s="1" t="s">
        <v>12</v>
      </c>
      <c r="J61" s="1" t="s">
        <v>43</v>
      </c>
      <c r="K61" s="1" t="s">
        <v>14</v>
      </c>
      <c r="L61" s="1" t="s">
        <v>35</v>
      </c>
      <c r="M61" s="1" t="s">
        <v>35</v>
      </c>
      <c r="N61" s="1">
        <v>30.18</v>
      </c>
      <c r="O61" s="1" t="s">
        <v>32</v>
      </c>
      <c r="P61" s="1" t="s">
        <v>37</v>
      </c>
      <c r="Q61" s="1" t="s">
        <v>16</v>
      </c>
      <c r="R61" s="1" t="str">
        <f>IF(N61="","",VLOOKUP(N61,Prior_levels,2,TRUE))</f>
        <v>H</v>
      </c>
    </row>
    <row r="62" spans="1:21" x14ac:dyDescent="0.2">
      <c r="A62" s="1" t="s">
        <v>41</v>
      </c>
      <c r="B62" s="1" t="s">
        <v>10</v>
      </c>
      <c r="C62" s="2">
        <v>41155</v>
      </c>
      <c r="D62" s="1">
        <v>10</v>
      </c>
      <c r="E62" s="1" t="s">
        <v>42</v>
      </c>
      <c r="I62" s="1" t="s">
        <v>12</v>
      </c>
      <c r="J62" s="1" t="s">
        <v>43</v>
      </c>
      <c r="K62" s="1" t="s">
        <v>14</v>
      </c>
      <c r="L62" s="1" t="s">
        <v>35</v>
      </c>
      <c r="M62" s="1" t="s">
        <v>35</v>
      </c>
      <c r="N62" s="1">
        <v>30.18</v>
      </c>
      <c r="O62" s="1" t="s">
        <v>27</v>
      </c>
      <c r="P62" s="1" t="s">
        <v>37</v>
      </c>
      <c r="Q62" s="1" t="s">
        <v>16</v>
      </c>
      <c r="R62" s="1" t="str">
        <f>IF(N62="","",VLOOKUP(N62,Prior_levels,2,TRUE))</f>
        <v>H</v>
      </c>
    </row>
    <row r="63" spans="1:21" x14ac:dyDescent="0.2">
      <c r="A63" s="1" t="s">
        <v>41</v>
      </c>
      <c r="B63" s="1" t="s">
        <v>10</v>
      </c>
      <c r="C63" s="2">
        <v>41155</v>
      </c>
      <c r="D63" s="1">
        <v>10</v>
      </c>
      <c r="E63" s="1" t="s">
        <v>42</v>
      </c>
      <c r="I63" s="1" t="s">
        <v>12</v>
      </c>
      <c r="J63" s="1" t="s">
        <v>43</v>
      </c>
      <c r="K63" s="1" t="s">
        <v>14</v>
      </c>
      <c r="L63" s="1" t="s">
        <v>35</v>
      </c>
      <c r="M63" s="1" t="s">
        <v>35</v>
      </c>
      <c r="N63" s="1">
        <v>30.18</v>
      </c>
      <c r="O63" s="1" t="s">
        <v>29</v>
      </c>
      <c r="P63" s="1" t="s">
        <v>37</v>
      </c>
      <c r="Q63" s="1" t="s">
        <v>16</v>
      </c>
      <c r="R63" s="1" t="str">
        <f>IF(N63="","",VLOOKUP(N63,Prior_levels,2,TRUE))</f>
        <v>H</v>
      </c>
    </row>
    <row r="64" spans="1:21" x14ac:dyDescent="0.2">
      <c r="A64" s="1" t="s">
        <v>41</v>
      </c>
      <c r="B64" s="1" t="s">
        <v>10</v>
      </c>
      <c r="C64" s="2">
        <v>41155</v>
      </c>
      <c r="D64" s="1">
        <v>10</v>
      </c>
      <c r="E64" s="1" t="s">
        <v>42</v>
      </c>
      <c r="I64" s="1" t="s">
        <v>12</v>
      </c>
      <c r="J64" s="1" t="s">
        <v>43</v>
      </c>
      <c r="K64" s="1" t="s">
        <v>14</v>
      </c>
      <c r="L64" s="1" t="s">
        <v>35</v>
      </c>
      <c r="M64" s="1" t="s">
        <v>35</v>
      </c>
      <c r="N64" s="1">
        <v>30.18</v>
      </c>
      <c r="O64" s="1" t="s">
        <v>30</v>
      </c>
      <c r="P64" s="1" t="s">
        <v>37</v>
      </c>
      <c r="Q64" s="1" t="s">
        <v>16</v>
      </c>
      <c r="R64" s="1" t="str">
        <f>IF(N64="","",VLOOKUP(N64,Prior_levels,2,TRUE))</f>
        <v>H</v>
      </c>
    </row>
    <row r="65" spans="1:18" x14ac:dyDescent="0.2">
      <c r="A65" s="1" t="s">
        <v>41</v>
      </c>
      <c r="B65" s="1" t="s">
        <v>10</v>
      </c>
      <c r="C65" s="2">
        <v>41155</v>
      </c>
      <c r="D65" s="1">
        <v>10</v>
      </c>
      <c r="E65" s="1" t="s">
        <v>42</v>
      </c>
      <c r="I65" s="1" t="s">
        <v>12</v>
      </c>
      <c r="J65" s="1" t="s">
        <v>43</v>
      </c>
      <c r="K65" s="1" t="s">
        <v>14</v>
      </c>
      <c r="L65" s="1" t="s">
        <v>35</v>
      </c>
      <c r="M65" s="1" t="s">
        <v>35</v>
      </c>
      <c r="N65" s="1">
        <v>30.18</v>
      </c>
      <c r="O65" s="1" t="s">
        <v>31</v>
      </c>
      <c r="P65" s="1" t="s">
        <v>28</v>
      </c>
      <c r="Q65" s="1" t="s">
        <v>16</v>
      </c>
      <c r="R65" s="1" t="str">
        <f>IF(N65="","",VLOOKUP(N65,Prior_levels,2,TRUE))</f>
        <v>H</v>
      </c>
    </row>
    <row r="66" spans="1:18" x14ac:dyDescent="0.2">
      <c r="A66" s="1" t="s">
        <v>44</v>
      </c>
      <c r="B66" s="1" t="s">
        <v>10</v>
      </c>
      <c r="C66" s="2">
        <v>41155</v>
      </c>
      <c r="D66" s="1">
        <v>10</v>
      </c>
      <c r="E66" s="1" t="s">
        <v>11</v>
      </c>
      <c r="I66" s="1" t="s">
        <v>12</v>
      </c>
      <c r="J66" s="1" t="s">
        <v>45</v>
      </c>
      <c r="K66" s="1" t="s">
        <v>14</v>
      </c>
      <c r="L66" s="1" t="s">
        <v>35</v>
      </c>
      <c r="M66" s="1" t="s">
        <v>35</v>
      </c>
      <c r="N66" s="1">
        <v>33.18</v>
      </c>
      <c r="O66" s="1" t="s">
        <v>15</v>
      </c>
      <c r="P66" s="1">
        <v>5.45</v>
      </c>
      <c r="Q66" s="1" t="s">
        <v>16</v>
      </c>
      <c r="R66" s="1" t="str">
        <f>IF(N66="","",VLOOKUP(N66,Prior_levels,2,TRUE))</f>
        <v>H</v>
      </c>
    </row>
    <row r="67" spans="1:18" x14ac:dyDescent="0.2">
      <c r="A67" s="1" t="s">
        <v>44</v>
      </c>
      <c r="B67" s="1" t="s">
        <v>10</v>
      </c>
      <c r="C67" s="2">
        <v>41155</v>
      </c>
      <c r="D67" s="1">
        <v>10</v>
      </c>
      <c r="E67" s="1" t="s">
        <v>11</v>
      </c>
      <c r="I67" s="1" t="s">
        <v>12</v>
      </c>
      <c r="J67" s="1" t="s">
        <v>45</v>
      </c>
      <c r="K67" s="1" t="s">
        <v>14</v>
      </c>
      <c r="L67" s="1" t="s">
        <v>35</v>
      </c>
      <c r="M67" s="1" t="s">
        <v>35</v>
      </c>
      <c r="N67" s="1">
        <v>33.18</v>
      </c>
      <c r="O67" s="1" t="s">
        <v>17</v>
      </c>
      <c r="P67" s="1">
        <v>-1.1000000000000001</v>
      </c>
      <c r="Q67" s="1" t="s">
        <v>16</v>
      </c>
      <c r="R67" s="1" t="str">
        <f>IF(N67="","",VLOOKUP(N67,Prior_levels,2,TRUE))</f>
        <v>H</v>
      </c>
    </row>
    <row r="68" spans="1:18" x14ac:dyDescent="0.2">
      <c r="A68" s="1" t="s">
        <v>44</v>
      </c>
      <c r="B68" s="1" t="s">
        <v>10</v>
      </c>
      <c r="C68" s="2">
        <v>41155</v>
      </c>
      <c r="D68" s="1">
        <v>10</v>
      </c>
      <c r="E68" s="1" t="s">
        <v>11</v>
      </c>
      <c r="I68" s="1" t="s">
        <v>12</v>
      </c>
      <c r="J68" s="1" t="s">
        <v>45</v>
      </c>
      <c r="K68" s="1" t="s">
        <v>14</v>
      </c>
      <c r="L68" s="1" t="s">
        <v>35</v>
      </c>
      <c r="M68" s="1" t="s">
        <v>35</v>
      </c>
      <c r="N68" s="1">
        <v>33.18</v>
      </c>
      <c r="O68" s="1" t="s">
        <v>18</v>
      </c>
      <c r="P68" s="1">
        <v>10</v>
      </c>
      <c r="Q68" s="1" t="s">
        <v>16</v>
      </c>
      <c r="R68" s="1" t="str">
        <f>IF(N68="","",VLOOKUP(N68,Prior_levels,2,TRUE))</f>
        <v>H</v>
      </c>
    </row>
    <row r="69" spans="1:18" x14ac:dyDescent="0.2">
      <c r="A69" s="1" t="s">
        <v>44</v>
      </c>
      <c r="B69" s="1" t="s">
        <v>10</v>
      </c>
      <c r="C69" s="2">
        <v>41155</v>
      </c>
      <c r="D69" s="1">
        <v>10</v>
      </c>
      <c r="E69" s="1" t="s">
        <v>11</v>
      </c>
      <c r="I69" s="1" t="s">
        <v>12</v>
      </c>
      <c r="J69" s="1" t="s">
        <v>45</v>
      </c>
      <c r="K69" s="1" t="s">
        <v>14</v>
      </c>
      <c r="L69" s="1" t="s">
        <v>35</v>
      </c>
      <c r="M69" s="1" t="s">
        <v>35</v>
      </c>
      <c r="N69" s="1">
        <v>33.18</v>
      </c>
      <c r="O69" s="1" t="s">
        <v>19</v>
      </c>
      <c r="P69" s="1">
        <v>12</v>
      </c>
      <c r="Q69" s="1" t="s">
        <v>16</v>
      </c>
      <c r="R69" s="1" t="str">
        <f>IF(N69="","",VLOOKUP(N69,Prior_levels,2,TRUE))</f>
        <v>H</v>
      </c>
    </row>
    <row r="70" spans="1:18" x14ac:dyDescent="0.2">
      <c r="A70" s="1" t="s">
        <v>44</v>
      </c>
      <c r="B70" s="1" t="s">
        <v>10</v>
      </c>
      <c r="C70" s="2">
        <v>41155</v>
      </c>
      <c r="D70" s="1">
        <v>10</v>
      </c>
      <c r="E70" s="1" t="s">
        <v>11</v>
      </c>
      <c r="I70" s="1" t="s">
        <v>12</v>
      </c>
      <c r="J70" s="1" t="s">
        <v>45</v>
      </c>
      <c r="K70" s="1" t="s">
        <v>14</v>
      </c>
      <c r="L70" s="1" t="s">
        <v>35</v>
      </c>
      <c r="M70" s="1" t="s">
        <v>35</v>
      </c>
      <c r="N70" s="1">
        <v>33.18</v>
      </c>
      <c r="O70" s="1" t="s">
        <v>20</v>
      </c>
      <c r="P70" s="1">
        <v>16.5</v>
      </c>
      <c r="Q70" s="1" t="s">
        <v>16</v>
      </c>
      <c r="R70" s="1" t="str">
        <f>IF(N70="","",VLOOKUP(N70,Prior_levels,2,TRUE))</f>
        <v>H</v>
      </c>
    </row>
    <row r="71" spans="1:18" x14ac:dyDescent="0.2">
      <c r="A71" s="1" t="s">
        <v>44</v>
      </c>
      <c r="B71" s="1" t="s">
        <v>10</v>
      </c>
      <c r="C71" s="2">
        <v>41155</v>
      </c>
      <c r="D71" s="1">
        <v>10</v>
      </c>
      <c r="E71" s="1" t="s">
        <v>11</v>
      </c>
      <c r="I71" s="1" t="s">
        <v>12</v>
      </c>
      <c r="J71" s="1" t="s">
        <v>45</v>
      </c>
      <c r="K71" s="1" t="s">
        <v>14</v>
      </c>
      <c r="L71" s="1" t="s">
        <v>35</v>
      </c>
      <c r="M71" s="1" t="s">
        <v>35</v>
      </c>
      <c r="N71" s="1">
        <v>33.18</v>
      </c>
      <c r="O71" s="1" t="s">
        <v>21</v>
      </c>
      <c r="P71" s="1">
        <v>16</v>
      </c>
      <c r="Q71" s="1" t="s">
        <v>16</v>
      </c>
      <c r="R71" s="1" t="str">
        <f>IF(N71="","",VLOOKUP(N71,Prior_levels,2,TRUE))</f>
        <v>H</v>
      </c>
    </row>
    <row r="72" spans="1:18" x14ac:dyDescent="0.2">
      <c r="A72" s="1" t="s">
        <v>44</v>
      </c>
      <c r="B72" s="1" t="s">
        <v>10</v>
      </c>
      <c r="C72" s="2">
        <v>41155</v>
      </c>
      <c r="D72" s="1">
        <v>10</v>
      </c>
      <c r="E72" s="1" t="s">
        <v>11</v>
      </c>
      <c r="I72" s="1" t="s">
        <v>12</v>
      </c>
      <c r="J72" s="1" t="s">
        <v>45</v>
      </c>
      <c r="K72" s="1" t="s">
        <v>14</v>
      </c>
      <c r="L72" s="1" t="s">
        <v>35</v>
      </c>
      <c r="M72" s="1" t="s">
        <v>35</v>
      </c>
      <c r="N72" s="1">
        <v>33.18</v>
      </c>
      <c r="O72" s="1" t="s">
        <v>22</v>
      </c>
      <c r="P72" s="1">
        <v>-1.64</v>
      </c>
      <c r="Q72" s="1" t="s">
        <v>16</v>
      </c>
      <c r="R72" s="1" t="str">
        <f>IF(N72="","",VLOOKUP(N72,Prior_levels,2,TRUE))</f>
        <v>H</v>
      </c>
    </row>
    <row r="73" spans="1:18" x14ac:dyDescent="0.2">
      <c r="A73" s="1" t="s">
        <v>44</v>
      </c>
      <c r="B73" s="1" t="s">
        <v>10</v>
      </c>
      <c r="C73" s="2">
        <v>41155</v>
      </c>
      <c r="D73" s="1">
        <v>10</v>
      </c>
      <c r="E73" s="1" t="s">
        <v>11</v>
      </c>
      <c r="I73" s="1" t="s">
        <v>12</v>
      </c>
      <c r="J73" s="1" t="s">
        <v>45</v>
      </c>
      <c r="K73" s="1" t="s">
        <v>14</v>
      </c>
      <c r="L73" s="1" t="s">
        <v>35</v>
      </c>
      <c r="M73" s="1" t="s">
        <v>35</v>
      </c>
      <c r="N73" s="1">
        <v>33.18</v>
      </c>
      <c r="O73" s="1" t="s">
        <v>23</v>
      </c>
      <c r="P73" s="1">
        <v>-0.66</v>
      </c>
      <c r="Q73" s="1" t="s">
        <v>16</v>
      </c>
      <c r="R73" s="1" t="str">
        <f>IF(N73="","",VLOOKUP(N73,Prior_levels,2,TRUE))</f>
        <v>H</v>
      </c>
    </row>
    <row r="74" spans="1:18" x14ac:dyDescent="0.2">
      <c r="A74" s="1" t="s">
        <v>44</v>
      </c>
      <c r="B74" s="1" t="s">
        <v>10</v>
      </c>
      <c r="C74" s="2">
        <v>41155</v>
      </c>
      <c r="D74" s="1">
        <v>10</v>
      </c>
      <c r="E74" s="1" t="s">
        <v>11</v>
      </c>
      <c r="I74" s="1" t="s">
        <v>12</v>
      </c>
      <c r="J74" s="1" t="s">
        <v>45</v>
      </c>
      <c r="K74" s="1" t="s">
        <v>14</v>
      </c>
      <c r="L74" s="1" t="s">
        <v>35</v>
      </c>
      <c r="M74" s="1" t="s">
        <v>35</v>
      </c>
      <c r="N74" s="1">
        <v>33.18</v>
      </c>
      <c r="O74" s="1" t="s">
        <v>24</v>
      </c>
      <c r="P74" s="1">
        <v>-2.77</v>
      </c>
      <c r="Q74" s="1" t="s">
        <v>16</v>
      </c>
      <c r="R74" s="1" t="str">
        <f>IF(N74="","",VLOOKUP(N74,Prior_levels,2,TRUE))</f>
        <v>H</v>
      </c>
    </row>
    <row r="75" spans="1:18" x14ac:dyDescent="0.2">
      <c r="A75" s="1" t="s">
        <v>44</v>
      </c>
      <c r="B75" s="1" t="s">
        <v>10</v>
      </c>
      <c r="C75" s="2">
        <v>41155</v>
      </c>
      <c r="D75" s="1">
        <v>10</v>
      </c>
      <c r="E75" s="1" t="s">
        <v>11</v>
      </c>
      <c r="I75" s="1" t="s">
        <v>12</v>
      </c>
      <c r="J75" s="1" t="s">
        <v>45</v>
      </c>
      <c r="K75" s="1" t="s">
        <v>14</v>
      </c>
      <c r="L75" s="1" t="s">
        <v>35</v>
      </c>
      <c r="M75" s="1" t="s">
        <v>35</v>
      </c>
      <c r="N75" s="1">
        <v>33.18</v>
      </c>
      <c r="O75" s="1" t="s">
        <v>25</v>
      </c>
      <c r="P75" s="1">
        <v>-3.62</v>
      </c>
      <c r="Q75" s="1" t="s">
        <v>16</v>
      </c>
      <c r="R75" s="1" t="str">
        <f>IF(N75="","",VLOOKUP(N75,Prior_levels,2,TRUE))</f>
        <v>H</v>
      </c>
    </row>
    <row r="76" spans="1:18" x14ac:dyDescent="0.2">
      <c r="A76" s="1" t="s">
        <v>44</v>
      </c>
      <c r="B76" s="1" t="s">
        <v>10</v>
      </c>
      <c r="C76" s="2">
        <v>41155</v>
      </c>
      <c r="D76" s="1">
        <v>10</v>
      </c>
      <c r="E76" s="1" t="s">
        <v>11</v>
      </c>
      <c r="I76" s="1" t="s">
        <v>12</v>
      </c>
      <c r="J76" s="1" t="s">
        <v>45</v>
      </c>
      <c r="K76" s="1" t="s">
        <v>14</v>
      </c>
      <c r="L76" s="1" t="s">
        <v>35</v>
      </c>
      <c r="M76" s="1" t="s">
        <v>35</v>
      </c>
      <c r="N76" s="1">
        <v>33.18</v>
      </c>
      <c r="O76" s="1" t="s">
        <v>26</v>
      </c>
      <c r="P76" s="1">
        <v>8</v>
      </c>
      <c r="Q76" s="1" t="s">
        <v>16</v>
      </c>
      <c r="R76" s="1" t="str">
        <f>IF(N76="","",VLOOKUP(N76,Prior_levels,2,TRUE))</f>
        <v>H</v>
      </c>
    </row>
    <row r="77" spans="1:18" x14ac:dyDescent="0.2">
      <c r="A77" s="1" t="s">
        <v>44</v>
      </c>
      <c r="B77" s="1" t="s">
        <v>10</v>
      </c>
      <c r="C77" s="2">
        <v>41155</v>
      </c>
      <c r="D77" s="1">
        <v>10</v>
      </c>
      <c r="E77" s="1" t="s">
        <v>11</v>
      </c>
      <c r="I77" s="1" t="s">
        <v>12</v>
      </c>
      <c r="J77" s="1" t="s">
        <v>45</v>
      </c>
      <c r="K77" s="1" t="s">
        <v>14</v>
      </c>
      <c r="L77" s="1" t="s">
        <v>35</v>
      </c>
      <c r="M77" s="1" t="s">
        <v>35</v>
      </c>
      <c r="N77" s="1">
        <v>33.18</v>
      </c>
      <c r="O77" s="1" t="s">
        <v>27</v>
      </c>
      <c r="P77" s="1" t="s">
        <v>37</v>
      </c>
      <c r="Q77" s="1" t="s">
        <v>16</v>
      </c>
      <c r="R77" s="1" t="str">
        <f>IF(N77="","",VLOOKUP(N77,Prior_levels,2,TRUE))</f>
        <v>H</v>
      </c>
    </row>
    <row r="78" spans="1:18" x14ac:dyDescent="0.2">
      <c r="A78" s="1" t="s">
        <v>44</v>
      </c>
      <c r="B78" s="1" t="s">
        <v>10</v>
      </c>
      <c r="C78" s="2">
        <v>41155</v>
      </c>
      <c r="D78" s="1">
        <v>10</v>
      </c>
      <c r="E78" s="1" t="s">
        <v>11</v>
      </c>
      <c r="I78" s="1" t="s">
        <v>12</v>
      </c>
      <c r="J78" s="1" t="s">
        <v>45</v>
      </c>
      <c r="K78" s="1" t="s">
        <v>14</v>
      </c>
      <c r="L78" s="1" t="s">
        <v>35</v>
      </c>
      <c r="M78" s="1" t="s">
        <v>35</v>
      </c>
      <c r="N78" s="1">
        <v>33.18</v>
      </c>
      <c r="O78" s="1" t="s">
        <v>29</v>
      </c>
      <c r="P78" s="1" t="s">
        <v>37</v>
      </c>
      <c r="Q78" s="1" t="s">
        <v>16</v>
      </c>
      <c r="R78" s="1" t="str">
        <f>IF(N78="","",VLOOKUP(N78,Prior_levels,2,TRUE))</f>
        <v>H</v>
      </c>
    </row>
    <row r="79" spans="1:18" x14ac:dyDescent="0.2">
      <c r="A79" s="1" t="s">
        <v>44</v>
      </c>
      <c r="B79" s="1" t="s">
        <v>10</v>
      </c>
      <c r="C79" s="2">
        <v>41155</v>
      </c>
      <c r="D79" s="1">
        <v>10</v>
      </c>
      <c r="E79" s="1" t="s">
        <v>11</v>
      </c>
      <c r="I79" s="1" t="s">
        <v>12</v>
      </c>
      <c r="J79" s="1" t="s">
        <v>45</v>
      </c>
      <c r="K79" s="1" t="s">
        <v>14</v>
      </c>
      <c r="L79" s="1" t="s">
        <v>35</v>
      </c>
      <c r="M79" s="1" t="s">
        <v>35</v>
      </c>
      <c r="N79" s="1">
        <v>33.18</v>
      </c>
      <c r="O79" s="1" t="s">
        <v>30</v>
      </c>
      <c r="P79" s="1" t="s">
        <v>37</v>
      </c>
      <c r="Q79" s="1" t="s">
        <v>16</v>
      </c>
      <c r="R79" s="1" t="str">
        <f>IF(N79="","",VLOOKUP(N79,Prior_levels,2,TRUE))</f>
        <v>H</v>
      </c>
    </row>
    <row r="80" spans="1:18" x14ac:dyDescent="0.2">
      <c r="A80" s="1" t="s">
        <v>44</v>
      </c>
      <c r="B80" s="1" t="s">
        <v>10</v>
      </c>
      <c r="C80" s="2">
        <v>41155</v>
      </c>
      <c r="D80" s="1">
        <v>10</v>
      </c>
      <c r="E80" s="1" t="s">
        <v>11</v>
      </c>
      <c r="I80" s="1" t="s">
        <v>12</v>
      </c>
      <c r="J80" s="1" t="s">
        <v>45</v>
      </c>
      <c r="K80" s="1" t="s">
        <v>14</v>
      </c>
      <c r="L80" s="1" t="s">
        <v>35</v>
      </c>
      <c r="M80" s="1" t="s">
        <v>35</v>
      </c>
      <c r="N80" s="1">
        <v>33.18</v>
      </c>
      <c r="O80" s="1" t="s">
        <v>31</v>
      </c>
      <c r="P80" s="1" t="s">
        <v>28</v>
      </c>
      <c r="Q80" s="1" t="s">
        <v>16</v>
      </c>
      <c r="R80" s="1" t="str">
        <f>IF(N80="","",VLOOKUP(N80,Prior_levels,2,TRUE))</f>
        <v>H</v>
      </c>
    </row>
    <row r="81" spans="1:18" x14ac:dyDescent="0.2">
      <c r="A81" s="1" t="s">
        <v>44</v>
      </c>
      <c r="B81" s="1" t="s">
        <v>10</v>
      </c>
      <c r="C81" s="2">
        <v>41155</v>
      </c>
      <c r="D81" s="1">
        <v>10</v>
      </c>
      <c r="E81" s="1" t="s">
        <v>11</v>
      </c>
      <c r="I81" s="1" t="s">
        <v>12</v>
      </c>
      <c r="J81" s="1" t="s">
        <v>45</v>
      </c>
      <c r="K81" s="1" t="s">
        <v>14</v>
      </c>
      <c r="L81" s="1" t="s">
        <v>35</v>
      </c>
      <c r="M81" s="1" t="s">
        <v>35</v>
      </c>
      <c r="N81" s="1">
        <v>33.18</v>
      </c>
      <c r="O81" s="1" t="s">
        <v>32</v>
      </c>
      <c r="P81" s="1" t="s">
        <v>37</v>
      </c>
      <c r="Q81" s="1" t="s">
        <v>16</v>
      </c>
      <c r="R81" s="1" t="str">
        <f>IF(N81="","",VLOOKUP(N81,Prior_levels,2,TRUE))</f>
        <v>H</v>
      </c>
    </row>
    <row r="82" spans="1:18" x14ac:dyDescent="0.2">
      <c r="A82" s="1" t="s">
        <v>46</v>
      </c>
      <c r="B82" s="1" t="s">
        <v>12</v>
      </c>
      <c r="C82" s="2">
        <v>41155</v>
      </c>
      <c r="D82" s="1">
        <v>10</v>
      </c>
      <c r="E82" s="1" t="s">
        <v>47</v>
      </c>
      <c r="F82" s="1" t="s">
        <v>28</v>
      </c>
      <c r="H82" s="1" t="s">
        <v>48</v>
      </c>
      <c r="I82" s="1" t="s">
        <v>12</v>
      </c>
      <c r="J82" s="1" t="s">
        <v>49</v>
      </c>
      <c r="K82" s="1" t="s">
        <v>50</v>
      </c>
      <c r="L82" s="1" t="s">
        <v>35</v>
      </c>
      <c r="M82" s="1" t="s">
        <v>35</v>
      </c>
      <c r="N82" s="1">
        <v>30.18</v>
      </c>
      <c r="O82" s="1" t="s">
        <v>15</v>
      </c>
      <c r="P82" s="1">
        <v>4.2</v>
      </c>
      <c r="Q82" s="1" t="s">
        <v>16</v>
      </c>
      <c r="R82" s="1" t="str">
        <f>IF(N82="","",VLOOKUP(N82,Prior_levels,2,TRUE))</f>
        <v>H</v>
      </c>
    </row>
    <row r="83" spans="1:18" x14ac:dyDescent="0.2">
      <c r="A83" s="1" t="s">
        <v>46</v>
      </c>
      <c r="B83" s="1" t="s">
        <v>12</v>
      </c>
      <c r="C83" s="2">
        <v>41155</v>
      </c>
      <c r="D83" s="1">
        <v>10</v>
      </c>
      <c r="E83" s="1" t="s">
        <v>47</v>
      </c>
      <c r="F83" s="1" t="s">
        <v>28</v>
      </c>
      <c r="H83" s="1" t="s">
        <v>48</v>
      </c>
      <c r="I83" s="1" t="s">
        <v>12</v>
      </c>
      <c r="J83" s="1" t="s">
        <v>49</v>
      </c>
      <c r="K83" s="1" t="s">
        <v>50</v>
      </c>
      <c r="L83" s="1" t="s">
        <v>35</v>
      </c>
      <c r="M83" s="1" t="s">
        <v>35</v>
      </c>
      <c r="N83" s="1">
        <v>30.18</v>
      </c>
      <c r="O83" s="1" t="s">
        <v>17</v>
      </c>
      <c r="P83" s="1">
        <v>-1.39</v>
      </c>
      <c r="Q83" s="1" t="s">
        <v>16</v>
      </c>
      <c r="R83" s="1" t="str">
        <f>IF(N83="","",VLOOKUP(N83,Prior_levels,2,TRUE))</f>
        <v>H</v>
      </c>
    </row>
    <row r="84" spans="1:18" x14ac:dyDescent="0.2">
      <c r="A84" s="1" t="s">
        <v>46</v>
      </c>
      <c r="B84" s="1" t="s">
        <v>12</v>
      </c>
      <c r="C84" s="2">
        <v>41155</v>
      </c>
      <c r="D84" s="1">
        <v>10</v>
      </c>
      <c r="E84" s="1" t="s">
        <v>47</v>
      </c>
      <c r="F84" s="1" t="s">
        <v>28</v>
      </c>
      <c r="H84" s="1" t="s">
        <v>48</v>
      </c>
      <c r="I84" s="1" t="s">
        <v>12</v>
      </c>
      <c r="J84" s="1" t="s">
        <v>49</v>
      </c>
      <c r="K84" s="1" t="s">
        <v>50</v>
      </c>
      <c r="L84" s="1" t="s">
        <v>35</v>
      </c>
      <c r="M84" s="1" t="s">
        <v>35</v>
      </c>
      <c r="N84" s="1">
        <v>30.18</v>
      </c>
      <c r="O84" s="1" t="s">
        <v>18</v>
      </c>
      <c r="P84" s="1">
        <v>8</v>
      </c>
      <c r="Q84" s="1" t="s">
        <v>16</v>
      </c>
      <c r="R84" s="1" t="str">
        <f>IF(N84="","",VLOOKUP(N84,Prior_levels,2,TRUE))</f>
        <v>H</v>
      </c>
    </row>
    <row r="85" spans="1:18" x14ac:dyDescent="0.2">
      <c r="A85" s="1" t="s">
        <v>46</v>
      </c>
      <c r="B85" s="1" t="s">
        <v>12</v>
      </c>
      <c r="C85" s="2">
        <v>41155</v>
      </c>
      <c r="D85" s="1">
        <v>10</v>
      </c>
      <c r="E85" s="1" t="s">
        <v>47</v>
      </c>
      <c r="F85" s="1" t="s">
        <v>28</v>
      </c>
      <c r="H85" s="1" t="s">
        <v>48</v>
      </c>
      <c r="I85" s="1" t="s">
        <v>12</v>
      </c>
      <c r="J85" s="1" t="s">
        <v>49</v>
      </c>
      <c r="K85" s="1" t="s">
        <v>50</v>
      </c>
      <c r="L85" s="1" t="s">
        <v>35</v>
      </c>
      <c r="M85" s="1" t="s">
        <v>35</v>
      </c>
      <c r="N85" s="1">
        <v>30.18</v>
      </c>
      <c r="O85" s="1" t="s">
        <v>19</v>
      </c>
      <c r="P85" s="1">
        <v>10</v>
      </c>
      <c r="Q85" s="1" t="s">
        <v>16</v>
      </c>
      <c r="R85" s="1" t="str">
        <f>IF(N85="","",VLOOKUP(N85,Prior_levels,2,TRUE))</f>
        <v>H</v>
      </c>
    </row>
    <row r="86" spans="1:18" x14ac:dyDescent="0.2">
      <c r="A86" s="1" t="s">
        <v>46</v>
      </c>
      <c r="B86" s="1" t="s">
        <v>12</v>
      </c>
      <c r="C86" s="2">
        <v>41155</v>
      </c>
      <c r="D86" s="1">
        <v>10</v>
      </c>
      <c r="E86" s="1" t="s">
        <v>47</v>
      </c>
      <c r="F86" s="1" t="s">
        <v>28</v>
      </c>
      <c r="H86" s="1" t="s">
        <v>48</v>
      </c>
      <c r="I86" s="1" t="s">
        <v>12</v>
      </c>
      <c r="J86" s="1" t="s">
        <v>49</v>
      </c>
      <c r="K86" s="1" t="s">
        <v>50</v>
      </c>
      <c r="L86" s="1" t="s">
        <v>35</v>
      </c>
      <c r="M86" s="1" t="s">
        <v>35</v>
      </c>
      <c r="N86" s="1">
        <v>30.18</v>
      </c>
      <c r="O86" s="1" t="s">
        <v>20</v>
      </c>
      <c r="P86" s="1">
        <v>12</v>
      </c>
      <c r="Q86" s="1" t="s">
        <v>16</v>
      </c>
      <c r="R86" s="1" t="str">
        <f>IF(N86="","",VLOOKUP(N86,Prior_levels,2,TRUE))</f>
        <v>H</v>
      </c>
    </row>
    <row r="87" spans="1:18" x14ac:dyDescent="0.2">
      <c r="A87" s="1" t="s">
        <v>46</v>
      </c>
      <c r="B87" s="1" t="s">
        <v>12</v>
      </c>
      <c r="C87" s="2">
        <v>41155</v>
      </c>
      <c r="D87" s="1">
        <v>10</v>
      </c>
      <c r="E87" s="1" t="s">
        <v>47</v>
      </c>
      <c r="F87" s="1" t="s">
        <v>28</v>
      </c>
      <c r="H87" s="1" t="s">
        <v>48</v>
      </c>
      <c r="I87" s="1" t="s">
        <v>12</v>
      </c>
      <c r="J87" s="1" t="s">
        <v>49</v>
      </c>
      <c r="K87" s="1" t="s">
        <v>50</v>
      </c>
      <c r="L87" s="1" t="s">
        <v>35</v>
      </c>
      <c r="M87" s="1" t="s">
        <v>35</v>
      </c>
      <c r="N87" s="1">
        <v>30.18</v>
      </c>
      <c r="O87" s="1" t="s">
        <v>21</v>
      </c>
      <c r="P87" s="1">
        <v>12</v>
      </c>
      <c r="Q87" s="1" t="s">
        <v>16</v>
      </c>
      <c r="R87" s="1" t="str">
        <f>IF(N87="","",VLOOKUP(N87,Prior_levels,2,TRUE))</f>
        <v>H</v>
      </c>
    </row>
    <row r="88" spans="1:18" x14ac:dyDescent="0.2">
      <c r="A88" s="1" t="s">
        <v>46</v>
      </c>
      <c r="B88" s="1" t="s">
        <v>12</v>
      </c>
      <c r="C88" s="2">
        <v>41155</v>
      </c>
      <c r="D88" s="1">
        <v>10</v>
      </c>
      <c r="E88" s="1" t="s">
        <v>47</v>
      </c>
      <c r="F88" s="1" t="s">
        <v>28</v>
      </c>
      <c r="H88" s="1" t="s">
        <v>48</v>
      </c>
      <c r="I88" s="1" t="s">
        <v>12</v>
      </c>
      <c r="J88" s="1" t="s">
        <v>49</v>
      </c>
      <c r="K88" s="1" t="s">
        <v>50</v>
      </c>
      <c r="L88" s="1" t="s">
        <v>35</v>
      </c>
      <c r="M88" s="1" t="s">
        <v>35</v>
      </c>
      <c r="N88" s="1">
        <v>30.18</v>
      </c>
      <c r="O88" s="1" t="s">
        <v>22</v>
      </c>
      <c r="P88" s="1">
        <v>-1.85</v>
      </c>
      <c r="Q88" s="1" t="s">
        <v>16</v>
      </c>
      <c r="R88" s="1" t="str">
        <f>IF(N88="","",VLOOKUP(N88,Prior_levels,2,TRUE))</f>
        <v>H</v>
      </c>
    </row>
    <row r="89" spans="1:18" x14ac:dyDescent="0.2">
      <c r="A89" s="1" t="s">
        <v>46</v>
      </c>
      <c r="B89" s="1" t="s">
        <v>12</v>
      </c>
      <c r="C89" s="2">
        <v>41155</v>
      </c>
      <c r="D89" s="1">
        <v>10</v>
      </c>
      <c r="E89" s="1" t="s">
        <v>47</v>
      </c>
      <c r="F89" s="1" t="s">
        <v>28</v>
      </c>
      <c r="H89" s="1" t="s">
        <v>48</v>
      </c>
      <c r="I89" s="1" t="s">
        <v>12</v>
      </c>
      <c r="J89" s="1" t="s">
        <v>49</v>
      </c>
      <c r="K89" s="1" t="s">
        <v>50</v>
      </c>
      <c r="L89" s="1" t="s">
        <v>35</v>
      </c>
      <c r="M89" s="1" t="s">
        <v>35</v>
      </c>
      <c r="N89" s="1">
        <v>30.18</v>
      </c>
      <c r="O89" s="1" t="s">
        <v>23</v>
      </c>
      <c r="P89" s="1">
        <v>-0.63</v>
      </c>
      <c r="Q89" s="1" t="s">
        <v>16</v>
      </c>
      <c r="R89" s="1" t="str">
        <f>IF(N89="","",VLOOKUP(N89,Prior_levels,2,TRUE))</f>
        <v>H</v>
      </c>
    </row>
    <row r="90" spans="1:18" x14ac:dyDescent="0.2">
      <c r="A90" s="1" t="s">
        <v>46</v>
      </c>
      <c r="B90" s="1" t="s">
        <v>12</v>
      </c>
      <c r="C90" s="2">
        <v>41155</v>
      </c>
      <c r="D90" s="1">
        <v>10</v>
      </c>
      <c r="E90" s="1" t="s">
        <v>47</v>
      </c>
      <c r="F90" s="1" t="s">
        <v>28</v>
      </c>
      <c r="H90" s="1" t="s">
        <v>48</v>
      </c>
      <c r="I90" s="1" t="s">
        <v>12</v>
      </c>
      <c r="J90" s="1" t="s">
        <v>49</v>
      </c>
      <c r="K90" s="1" t="s">
        <v>50</v>
      </c>
      <c r="L90" s="1" t="s">
        <v>35</v>
      </c>
      <c r="M90" s="1" t="s">
        <v>35</v>
      </c>
      <c r="N90" s="1">
        <v>30.18</v>
      </c>
      <c r="O90" s="1" t="s">
        <v>24</v>
      </c>
      <c r="P90" s="1">
        <v>-3.71</v>
      </c>
      <c r="Q90" s="1" t="s">
        <v>16</v>
      </c>
      <c r="R90" s="1" t="str">
        <f>IF(N90="","",VLOOKUP(N90,Prior_levels,2,TRUE))</f>
        <v>H</v>
      </c>
    </row>
    <row r="91" spans="1:18" x14ac:dyDescent="0.2">
      <c r="A91" s="1" t="s">
        <v>46</v>
      </c>
      <c r="B91" s="1" t="s">
        <v>12</v>
      </c>
      <c r="C91" s="2">
        <v>41155</v>
      </c>
      <c r="D91" s="1">
        <v>10</v>
      </c>
      <c r="E91" s="1" t="s">
        <v>47</v>
      </c>
      <c r="F91" s="1" t="s">
        <v>28</v>
      </c>
      <c r="H91" s="1" t="s">
        <v>48</v>
      </c>
      <c r="I91" s="1" t="s">
        <v>12</v>
      </c>
      <c r="J91" s="1" t="s">
        <v>49</v>
      </c>
      <c r="K91" s="1" t="s">
        <v>50</v>
      </c>
      <c r="L91" s="1" t="s">
        <v>35</v>
      </c>
      <c r="M91" s="1" t="s">
        <v>35</v>
      </c>
      <c r="N91" s="1">
        <v>30.18</v>
      </c>
      <c r="O91" s="1" t="s">
        <v>25</v>
      </c>
      <c r="P91" s="1">
        <v>-5.21</v>
      </c>
      <c r="Q91" s="1" t="s">
        <v>16</v>
      </c>
      <c r="R91" s="1" t="str">
        <f>IF(N91="","",VLOOKUP(N91,Prior_levels,2,TRUE))</f>
        <v>H</v>
      </c>
    </row>
    <row r="92" spans="1:18" x14ac:dyDescent="0.2">
      <c r="A92" s="1" t="s">
        <v>46</v>
      </c>
      <c r="B92" s="1" t="s">
        <v>12</v>
      </c>
      <c r="C92" s="2">
        <v>41155</v>
      </c>
      <c r="D92" s="1">
        <v>10</v>
      </c>
      <c r="E92" s="1" t="s">
        <v>47</v>
      </c>
      <c r="F92" s="1" t="s">
        <v>28</v>
      </c>
      <c r="H92" s="1" t="s">
        <v>48</v>
      </c>
      <c r="I92" s="1" t="s">
        <v>12</v>
      </c>
      <c r="J92" s="1" t="s">
        <v>49</v>
      </c>
      <c r="K92" s="1" t="s">
        <v>50</v>
      </c>
      <c r="L92" s="1" t="s">
        <v>35</v>
      </c>
      <c r="M92" s="1" t="s">
        <v>35</v>
      </c>
      <c r="N92" s="1">
        <v>30.18</v>
      </c>
      <c r="O92" s="1" t="s">
        <v>26</v>
      </c>
      <c r="P92" s="1">
        <v>8</v>
      </c>
      <c r="Q92" s="1" t="s">
        <v>16</v>
      </c>
      <c r="R92" s="1" t="str">
        <f>IF(N92="","",VLOOKUP(N92,Prior_levels,2,TRUE))</f>
        <v>H</v>
      </c>
    </row>
    <row r="93" spans="1:18" x14ac:dyDescent="0.2">
      <c r="A93" s="1" t="s">
        <v>46</v>
      </c>
      <c r="B93" s="1" t="s">
        <v>12</v>
      </c>
      <c r="C93" s="2">
        <v>41155</v>
      </c>
      <c r="D93" s="1">
        <v>10</v>
      </c>
      <c r="E93" s="1" t="s">
        <v>47</v>
      </c>
      <c r="F93" s="1" t="s">
        <v>28</v>
      </c>
      <c r="H93" s="1" t="s">
        <v>48</v>
      </c>
      <c r="I93" s="1" t="s">
        <v>12</v>
      </c>
      <c r="J93" s="1" t="s">
        <v>49</v>
      </c>
      <c r="K93" s="1" t="s">
        <v>50</v>
      </c>
      <c r="L93" s="1" t="s">
        <v>35</v>
      </c>
      <c r="M93" s="1" t="s">
        <v>35</v>
      </c>
      <c r="N93" s="1">
        <v>30.18</v>
      </c>
      <c r="O93" s="1" t="s">
        <v>32</v>
      </c>
      <c r="P93" s="1" t="s">
        <v>28</v>
      </c>
      <c r="Q93" s="1" t="s">
        <v>16</v>
      </c>
      <c r="R93" s="1" t="str">
        <f>IF(N93="","",VLOOKUP(N93,Prior_levels,2,TRUE))</f>
        <v>H</v>
      </c>
    </row>
    <row r="94" spans="1:18" x14ac:dyDescent="0.2">
      <c r="A94" s="1" t="s">
        <v>46</v>
      </c>
      <c r="B94" s="1" t="s">
        <v>12</v>
      </c>
      <c r="C94" s="2">
        <v>41155</v>
      </c>
      <c r="D94" s="1">
        <v>10</v>
      </c>
      <c r="E94" s="1" t="s">
        <v>47</v>
      </c>
      <c r="F94" s="1" t="s">
        <v>28</v>
      </c>
      <c r="H94" s="1" t="s">
        <v>48</v>
      </c>
      <c r="I94" s="1" t="s">
        <v>12</v>
      </c>
      <c r="J94" s="1" t="s">
        <v>49</v>
      </c>
      <c r="K94" s="1" t="s">
        <v>50</v>
      </c>
      <c r="L94" s="1" t="s">
        <v>35</v>
      </c>
      <c r="M94" s="1" t="s">
        <v>35</v>
      </c>
      <c r="N94" s="1">
        <v>30.18</v>
      </c>
      <c r="O94" s="1" t="s">
        <v>27</v>
      </c>
      <c r="P94" s="1" t="s">
        <v>37</v>
      </c>
      <c r="Q94" s="1" t="s">
        <v>16</v>
      </c>
      <c r="R94" s="1" t="str">
        <f>IF(N94="","",VLOOKUP(N94,Prior_levels,2,TRUE))</f>
        <v>H</v>
      </c>
    </row>
    <row r="95" spans="1:18" x14ac:dyDescent="0.2">
      <c r="A95" s="1" t="s">
        <v>46</v>
      </c>
      <c r="B95" s="1" t="s">
        <v>12</v>
      </c>
      <c r="C95" s="2">
        <v>41155</v>
      </c>
      <c r="D95" s="1">
        <v>10</v>
      </c>
      <c r="E95" s="1" t="s">
        <v>47</v>
      </c>
      <c r="F95" s="1" t="s">
        <v>28</v>
      </c>
      <c r="H95" s="1" t="s">
        <v>48</v>
      </c>
      <c r="I95" s="1" t="s">
        <v>12</v>
      </c>
      <c r="J95" s="1" t="s">
        <v>49</v>
      </c>
      <c r="K95" s="1" t="s">
        <v>50</v>
      </c>
      <c r="L95" s="1" t="s">
        <v>35</v>
      </c>
      <c r="M95" s="1" t="s">
        <v>35</v>
      </c>
      <c r="N95" s="1">
        <v>30.18</v>
      </c>
      <c r="O95" s="1" t="s">
        <v>29</v>
      </c>
      <c r="P95" s="1" t="s">
        <v>28</v>
      </c>
      <c r="Q95" s="1" t="s">
        <v>16</v>
      </c>
      <c r="R95" s="1" t="str">
        <f>IF(N95="","",VLOOKUP(N95,Prior_levels,2,TRUE))</f>
        <v>H</v>
      </c>
    </row>
    <row r="96" spans="1:18" x14ac:dyDescent="0.2">
      <c r="A96" s="1" t="s">
        <v>46</v>
      </c>
      <c r="B96" s="1" t="s">
        <v>12</v>
      </c>
      <c r="C96" s="2">
        <v>41155</v>
      </c>
      <c r="D96" s="1">
        <v>10</v>
      </c>
      <c r="E96" s="1" t="s">
        <v>47</v>
      </c>
      <c r="F96" s="1" t="s">
        <v>28</v>
      </c>
      <c r="H96" s="1" t="s">
        <v>48</v>
      </c>
      <c r="I96" s="1" t="s">
        <v>12</v>
      </c>
      <c r="J96" s="1" t="s">
        <v>49</v>
      </c>
      <c r="K96" s="1" t="s">
        <v>50</v>
      </c>
      <c r="L96" s="1" t="s">
        <v>35</v>
      </c>
      <c r="M96" s="1" t="s">
        <v>35</v>
      </c>
      <c r="N96" s="1">
        <v>30.18</v>
      </c>
      <c r="O96" s="1" t="s">
        <v>30</v>
      </c>
      <c r="P96" s="1" t="s">
        <v>28</v>
      </c>
      <c r="Q96" s="1" t="s">
        <v>16</v>
      </c>
      <c r="R96" s="1" t="str">
        <f>IF(N96="","",VLOOKUP(N96,Prior_levels,2,TRUE))</f>
        <v>H</v>
      </c>
    </row>
    <row r="97" spans="1:18" x14ac:dyDescent="0.2">
      <c r="A97" s="1" t="s">
        <v>46</v>
      </c>
      <c r="B97" s="1" t="s">
        <v>12</v>
      </c>
      <c r="C97" s="2">
        <v>41155</v>
      </c>
      <c r="D97" s="1">
        <v>10</v>
      </c>
      <c r="E97" s="1" t="s">
        <v>47</v>
      </c>
      <c r="F97" s="1" t="s">
        <v>28</v>
      </c>
      <c r="H97" s="1" t="s">
        <v>48</v>
      </c>
      <c r="I97" s="1" t="s">
        <v>12</v>
      </c>
      <c r="J97" s="1" t="s">
        <v>49</v>
      </c>
      <c r="K97" s="1" t="s">
        <v>50</v>
      </c>
      <c r="L97" s="1" t="s">
        <v>35</v>
      </c>
      <c r="M97" s="1" t="s">
        <v>35</v>
      </c>
      <c r="N97" s="1">
        <v>30.18</v>
      </c>
      <c r="O97" s="1" t="s">
        <v>31</v>
      </c>
      <c r="P97" s="1" t="s">
        <v>28</v>
      </c>
      <c r="Q97" s="1" t="s">
        <v>16</v>
      </c>
      <c r="R97" s="1" t="str">
        <f>IF(N97="","",VLOOKUP(N97,Prior_levels,2,TRUE))</f>
        <v>H</v>
      </c>
    </row>
    <row r="98" spans="1:18" x14ac:dyDescent="0.2">
      <c r="A98" s="1" t="s">
        <v>51</v>
      </c>
      <c r="B98" s="1" t="s">
        <v>10</v>
      </c>
      <c r="C98" s="2">
        <v>41155</v>
      </c>
      <c r="D98" s="1">
        <v>10</v>
      </c>
      <c r="E98" s="1" t="s">
        <v>52</v>
      </c>
      <c r="I98" s="1" t="s">
        <v>12</v>
      </c>
      <c r="J98" s="1" t="s">
        <v>40</v>
      </c>
      <c r="K98" s="1" t="s">
        <v>14</v>
      </c>
      <c r="L98" s="1" t="s">
        <v>12</v>
      </c>
      <c r="M98" s="1" t="s">
        <v>12</v>
      </c>
      <c r="N98" s="1">
        <v>27.12</v>
      </c>
      <c r="O98" s="1" t="s">
        <v>15</v>
      </c>
      <c r="P98" s="1">
        <v>4</v>
      </c>
      <c r="Q98" s="1" t="s">
        <v>16</v>
      </c>
      <c r="R98" s="1" t="str">
        <f>IF(N98="","",VLOOKUP(N98,Prior_levels,2,TRUE))</f>
        <v>M</v>
      </c>
    </row>
    <row r="99" spans="1:18" x14ac:dyDescent="0.2">
      <c r="A99" s="1" t="s">
        <v>51</v>
      </c>
      <c r="B99" s="1" t="s">
        <v>10</v>
      </c>
      <c r="C99" s="2">
        <v>41155</v>
      </c>
      <c r="D99" s="1">
        <v>10</v>
      </c>
      <c r="E99" s="1" t="s">
        <v>52</v>
      </c>
      <c r="I99" s="1" t="s">
        <v>12</v>
      </c>
      <c r="J99" s="1" t="s">
        <v>40</v>
      </c>
      <c r="K99" s="1" t="s">
        <v>14</v>
      </c>
      <c r="L99" s="1" t="s">
        <v>12</v>
      </c>
      <c r="M99" s="1" t="s">
        <v>12</v>
      </c>
      <c r="N99" s="1">
        <v>27.12</v>
      </c>
      <c r="O99" s="1" t="s">
        <v>17</v>
      </c>
      <c r="P99" s="1">
        <v>-0.55000000000000004</v>
      </c>
      <c r="Q99" s="1" t="s">
        <v>16</v>
      </c>
      <c r="R99" s="1" t="str">
        <f>IF(N99="","",VLOOKUP(N99,Prior_levels,2,TRUE))</f>
        <v>M</v>
      </c>
    </row>
    <row r="100" spans="1:18" x14ac:dyDescent="0.2">
      <c r="A100" s="1" t="s">
        <v>51</v>
      </c>
      <c r="B100" s="1" t="s">
        <v>10</v>
      </c>
      <c r="C100" s="2">
        <v>41155</v>
      </c>
      <c r="D100" s="1">
        <v>10</v>
      </c>
      <c r="E100" s="1" t="s">
        <v>52</v>
      </c>
      <c r="I100" s="1" t="s">
        <v>12</v>
      </c>
      <c r="J100" s="1" t="s">
        <v>40</v>
      </c>
      <c r="K100" s="1" t="s">
        <v>14</v>
      </c>
      <c r="L100" s="1" t="s">
        <v>12</v>
      </c>
      <c r="M100" s="1" t="s">
        <v>12</v>
      </c>
      <c r="N100" s="1">
        <v>27.12</v>
      </c>
      <c r="O100" s="1" t="s">
        <v>18</v>
      </c>
      <c r="P100" s="1">
        <v>10</v>
      </c>
      <c r="Q100" s="1" t="s">
        <v>16</v>
      </c>
      <c r="R100" s="1" t="str">
        <f>IF(N100="","",VLOOKUP(N100,Prior_levels,2,TRUE))</f>
        <v>M</v>
      </c>
    </row>
    <row r="101" spans="1:18" x14ac:dyDescent="0.2">
      <c r="A101" s="1" t="s">
        <v>51</v>
      </c>
      <c r="B101" s="1" t="s">
        <v>10</v>
      </c>
      <c r="C101" s="2">
        <v>41155</v>
      </c>
      <c r="D101" s="1">
        <v>10</v>
      </c>
      <c r="E101" s="1" t="s">
        <v>52</v>
      </c>
      <c r="I101" s="1" t="s">
        <v>12</v>
      </c>
      <c r="J101" s="1" t="s">
        <v>40</v>
      </c>
      <c r="K101" s="1" t="s">
        <v>14</v>
      </c>
      <c r="L101" s="1" t="s">
        <v>12</v>
      </c>
      <c r="M101" s="1" t="s">
        <v>12</v>
      </c>
      <c r="N101" s="1">
        <v>27.12</v>
      </c>
      <c r="O101" s="1" t="s">
        <v>19</v>
      </c>
      <c r="P101" s="1">
        <v>8</v>
      </c>
      <c r="Q101" s="1" t="s">
        <v>16</v>
      </c>
      <c r="R101" s="1" t="str">
        <f>IF(N101="","",VLOOKUP(N101,Prior_levels,2,TRUE))</f>
        <v>M</v>
      </c>
    </row>
    <row r="102" spans="1:18" x14ac:dyDescent="0.2">
      <c r="A102" s="1" t="s">
        <v>51</v>
      </c>
      <c r="B102" s="1" t="s">
        <v>10</v>
      </c>
      <c r="C102" s="2">
        <v>41155</v>
      </c>
      <c r="D102" s="1">
        <v>10</v>
      </c>
      <c r="E102" s="1" t="s">
        <v>52</v>
      </c>
      <c r="I102" s="1" t="s">
        <v>12</v>
      </c>
      <c r="J102" s="1" t="s">
        <v>40</v>
      </c>
      <c r="K102" s="1" t="s">
        <v>14</v>
      </c>
      <c r="L102" s="1" t="s">
        <v>12</v>
      </c>
      <c r="M102" s="1" t="s">
        <v>12</v>
      </c>
      <c r="N102" s="1">
        <v>27.12</v>
      </c>
      <c r="O102" s="1" t="s">
        <v>20</v>
      </c>
      <c r="P102" s="1">
        <v>10</v>
      </c>
      <c r="Q102" s="1" t="s">
        <v>16</v>
      </c>
      <c r="R102" s="1" t="str">
        <f>IF(N102="","",VLOOKUP(N102,Prior_levels,2,TRUE))</f>
        <v>M</v>
      </c>
    </row>
    <row r="103" spans="1:18" x14ac:dyDescent="0.2">
      <c r="A103" s="1" t="s">
        <v>51</v>
      </c>
      <c r="B103" s="1" t="s">
        <v>10</v>
      </c>
      <c r="C103" s="2">
        <v>41155</v>
      </c>
      <c r="D103" s="1">
        <v>10</v>
      </c>
      <c r="E103" s="1" t="s">
        <v>52</v>
      </c>
      <c r="I103" s="1" t="s">
        <v>12</v>
      </c>
      <c r="J103" s="1" t="s">
        <v>40</v>
      </c>
      <c r="K103" s="1" t="s">
        <v>14</v>
      </c>
      <c r="L103" s="1" t="s">
        <v>12</v>
      </c>
      <c r="M103" s="1" t="s">
        <v>12</v>
      </c>
      <c r="N103" s="1">
        <v>27.12</v>
      </c>
      <c r="O103" s="1" t="s">
        <v>21</v>
      </c>
      <c r="P103" s="1">
        <v>12</v>
      </c>
      <c r="Q103" s="1" t="s">
        <v>16</v>
      </c>
      <c r="R103" s="1" t="str">
        <f>IF(N103="","",VLOOKUP(N103,Prior_levels,2,TRUE))</f>
        <v>M</v>
      </c>
    </row>
    <row r="104" spans="1:18" x14ac:dyDescent="0.2">
      <c r="A104" s="1" t="s">
        <v>51</v>
      </c>
      <c r="B104" s="1" t="s">
        <v>10</v>
      </c>
      <c r="C104" s="2">
        <v>41155</v>
      </c>
      <c r="D104" s="1">
        <v>10</v>
      </c>
      <c r="E104" s="1" t="s">
        <v>52</v>
      </c>
      <c r="I104" s="1" t="s">
        <v>12</v>
      </c>
      <c r="J104" s="1" t="s">
        <v>40</v>
      </c>
      <c r="K104" s="1" t="s">
        <v>14</v>
      </c>
      <c r="L104" s="1" t="s">
        <v>12</v>
      </c>
      <c r="M104" s="1" t="s">
        <v>12</v>
      </c>
      <c r="N104" s="1">
        <v>27.12</v>
      </c>
      <c r="O104" s="1" t="s">
        <v>22</v>
      </c>
      <c r="P104" s="1">
        <v>-0.05</v>
      </c>
      <c r="Q104" s="1" t="s">
        <v>16</v>
      </c>
      <c r="R104" s="1" t="str">
        <f>IF(N104="","",VLOOKUP(N104,Prior_levels,2,TRUE))</f>
        <v>M</v>
      </c>
    </row>
    <row r="105" spans="1:18" x14ac:dyDescent="0.2">
      <c r="A105" s="1" t="s">
        <v>51</v>
      </c>
      <c r="B105" s="1" t="s">
        <v>10</v>
      </c>
      <c r="C105" s="2">
        <v>41155</v>
      </c>
      <c r="D105" s="1">
        <v>10</v>
      </c>
      <c r="E105" s="1" t="s">
        <v>52</v>
      </c>
      <c r="I105" s="1" t="s">
        <v>12</v>
      </c>
      <c r="J105" s="1" t="s">
        <v>40</v>
      </c>
      <c r="K105" s="1" t="s">
        <v>14</v>
      </c>
      <c r="L105" s="1" t="s">
        <v>12</v>
      </c>
      <c r="M105" s="1" t="s">
        <v>12</v>
      </c>
      <c r="N105" s="1">
        <v>27.12</v>
      </c>
      <c r="O105" s="1" t="s">
        <v>23</v>
      </c>
      <c r="P105" s="1">
        <v>-0.64</v>
      </c>
      <c r="Q105" s="1" t="s">
        <v>16</v>
      </c>
      <c r="R105" s="1" t="str">
        <f>IF(N105="","",VLOOKUP(N105,Prior_levels,2,TRUE))</f>
        <v>M</v>
      </c>
    </row>
    <row r="106" spans="1:18" x14ac:dyDescent="0.2">
      <c r="A106" s="1" t="s">
        <v>51</v>
      </c>
      <c r="B106" s="1" t="s">
        <v>10</v>
      </c>
      <c r="C106" s="2">
        <v>41155</v>
      </c>
      <c r="D106" s="1">
        <v>10</v>
      </c>
      <c r="E106" s="1" t="s">
        <v>52</v>
      </c>
      <c r="I106" s="1" t="s">
        <v>12</v>
      </c>
      <c r="J106" s="1" t="s">
        <v>40</v>
      </c>
      <c r="K106" s="1" t="s">
        <v>14</v>
      </c>
      <c r="L106" s="1" t="s">
        <v>12</v>
      </c>
      <c r="M106" s="1" t="s">
        <v>12</v>
      </c>
      <c r="N106" s="1">
        <v>27.12</v>
      </c>
      <c r="O106" s="1" t="s">
        <v>25</v>
      </c>
      <c r="P106" s="1">
        <v>-2.89</v>
      </c>
      <c r="Q106" s="1" t="s">
        <v>16</v>
      </c>
      <c r="R106" s="1" t="str">
        <f>IF(N106="","",VLOOKUP(N106,Prior_levels,2,TRUE))</f>
        <v>M</v>
      </c>
    </row>
    <row r="107" spans="1:18" x14ac:dyDescent="0.2">
      <c r="A107" s="1" t="s">
        <v>51</v>
      </c>
      <c r="B107" s="1" t="s">
        <v>10</v>
      </c>
      <c r="C107" s="2">
        <v>41155</v>
      </c>
      <c r="D107" s="1">
        <v>10</v>
      </c>
      <c r="E107" s="1" t="s">
        <v>52</v>
      </c>
      <c r="I107" s="1" t="s">
        <v>12</v>
      </c>
      <c r="J107" s="1" t="s">
        <v>40</v>
      </c>
      <c r="K107" s="1" t="s">
        <v>14</v>
      </c>
      <c r="L107" s="1" t="s">
        <v>12</v>
      </c>
      <c r="M107" s="1" t="s">
        <v>12</v>
      </c>
      <c r="N107" s="1">
        <v>27.12</v>
      </c>
      <c r="O107" s="1" t="s">
        <v>26</v>
      </c>
      <c r="P107" s="1">
        <v>4</v>
      </c>
      <c r="Q107" s="1" t="s">
        <v>16</v>
      </c>
      <c r="R107" s="1" t="str">
        <f>IF(N107="","",VLOOKUP(N107,Prior_levels,2,TRUE))</f>
        <v>M</v>
      </c>
    </row>
    <row r="108" spans="1:18" x14ac:dyDescent="0.2">
      <c r="A108" s="1" t="s">
        <v>51</v>
      </c>
      <c r="B108" s="1" t="s">
        <v>10</v>
      </c>
      <c r="C108" s="2">
        <v>41155</v>
      </c>
      <c r="D108" s="1">
        <v>10</v>
      </c>
      <c r="E108" s="1" t="s">
        <v>52</v>
      </c>
      <c r="I108" s="1" t="s">
        <v>12</v>
      </c>
      <c r="J108" s="1" t="s">
        <v>40</v>
      </c>
      <c r="K108" s="1" t="s">
        <v>14</v>
      </c>
      <c r="L108" s="1" t="s">
        <v>12</v>
      </c>
      <c r="M108" s="1" t="s">
        <v>12</v>
      </c>
      <c r="N108" s="1">
        <v>27.12</v>
      </c>
      <c r="O108" s="1" t="s">
        <v>24</v>
      </c>
      <c r="P108" s="1">
        <v>-1.25</v>
      </c>
      <c r="Q108" s="1" t="s">
        <v>16</v>
      </c>
      <c r="R108" s="1" t="str">
        <f>IF(N108="","",VLOOKUP(N108,Prior_levels,2,TRUE))</f>
        <v>M</v>
      </c>
    </row>
    <row r="109" spans="1:18" x14ac:dyDescent="0.2">
      <c r="A109" s="1" t="s">
        <v>51</v>
      </c>
      <c r="B109" s="1" t="s">
        <v>10</v>
      </c>
      <c r="C109" s="2">
        <v>41155</v>
      </c>
      <c r="D109" s="1">
        <v>10</v>
      </c>
      <c r="E109" s="1" t="s">
        <v>52</v>
      </c>
      <c r="I109" s="1" t="s">
        <v>12</v>
      </c>
      <c r="J109" s="1" t="s">
        <v>40</v>
      </c>
      <c r="K109" s="1" t="s">
        <v>14</v>
      </c>
      <c r="L109" s="1" t="s">
        <v>12</v>
      </c>
      <c r="M109" s="1" t="s">
        <v>12</v>
      </c>
      <c r="N109" s="1">
        <v>27.12</v>
      </c>
      <c r="O109" s="1" t="s">
        <v>32</v>
      </c>
      <c r="P109" s="1" t="s">
        <v>28</v>
      </c>
      <c r="Q109" s="1" t="s">
        <v>16</v>
      </c>
      <c r="R109" s="1" t="str">
        <f>IF(N109="","",VLOOKUP(N109,Prior_levels,2,TRUE))</f>
        <v>M</v>
      </c>
    </row>
    <row r="110" spans="1:18" x14ac:dyDescent="0.2">
      <c r="A110" s="1" t="s">
        <v>51</v>
      </c>
      <c r="B110" s="1" t="s">
        <v>10</v>
      </c>
      <c r="C110" s="2">
        <v>41155</v>
      </c>
      <c r="D110" s="1">
        <v>10</v>
      </c>
      <c r="E110" s="1" t="s">
        <v>52</v>
      </c>
      <c r="I110" s="1" t="s">
        <v>12</v>
      </c>
      <c r="J110" s="1" t="s">
        <v>40</v>
      </c>
      <c r="K110" s="1" t="s">
        <v>14</v>
      </c>
      <c r="L110" s="1" t="s">
        <v>12</v>
      </c>
      <c r="M110" s="1" t="s">
        <v>12</v>
      </c>
      <c r="N110" s="1">
        <v>27.12</v>
      </c>
      <c r="O110" s="1" t="s">
        <v>27</v>
      </c>
      <c r="P110" s="1" t="s">
        <v>28</v>
      </c>
      <c r="Q110" s="1" t="s">
        <v>16</v>
      </c>
      <c r="R110" s="1" t="str">
        <f>IF(N110="","",VLOOKUP(N110,Prior_levels,2,TRUE))</f>
        <v>M</v>
      </c>
    </row>
    <row r="111" spans="1:18" x14ac:dyDescent="0.2">
      <c r="A111" s="1" t="s">
        <v>51</v>
      </c>
      <c r="B111" s="1" t="s">
        <v>10</v>
      </c>
      <c r="C111" s="2">
        <v>41155</v>
      </c>
      <c r="D111" s="1">
        <v>10</v>
      </c>
      <c r="E111" s="1" t="s">
        <v>52</v>
      </c>
      <c r="I111" s="1" t="s">
        <v>12</v>
      </c>
      <c r="J111" s="1" t="s">
        <v>40</v>
      </c>
      <c r="K111" s="1" t="s">
        <v>14</v>
      </c>
      <c r="L111" s="1" t="s">
        <v>12</v>
      </c>
      <c r="M111" s="1" t="s">
        <v>12</v>
      </c>
      <c r="N111" s="1">
        <v>27.12</v>
      </c>
      <c r="O111" s="1" t="s">
        <v>29</v>
      </c>
      <c r="P111" s="1" t="s">
        <v>37</v>
      </c>
      <c r="Q111" s="1" t="s">
        <v>16</v>
      </c>
      <c r="R111" s="1" t="str">
        <f>IF(N111="","",VLOOKUP(N111,Prior_levels,2,TRUE))</f>
        <v>M</v>
      </c>
    </row>
    <row r="112" spans="1:18" x14ac:dyDescent="0.2">
      <c r="A112" s="1" t="s">
        <v>51</v>
      </c>
      <c r="B112" s="1" t="s">
        <v>10</v>
      </c>
      <c r="C112" s="2">
        <v>41155</v>
      </c>
      <c r="D112" s="1">
        <v>10</v>
      </c>
      <c r="E112" s="1" t="s">
        <v>52</v>
      </c>
      <c r="I112" s="1" t="s">
        <v>12</v>
      </c>
      <c r="J112" s="1" t="s">
        <v>40</v>
      </c>
      <c r="K112" s="1" t="s">
        <v>14</v>
      </c>
      <c r="L112" s="1" t="s">
        <v>12</v>
      </c>
      <c r="M112" s="1" t="s">
        <v>12</v>
      </c>
      <c r="N112" s="1">
        <v>27.12</v>
      </c>
      <c r="O112" s="1" t="s">
        <v>30</v>
      </c>
      <c r="P112" s="1" t="s">
        <v>28</v>
      </c>
      <c r="Q112" s="1" t="s">
        <v>16</v>
      </c>
      <c r="R112" s="1" t="str">
        <f>IF(N112="","",VLOOKUP(N112,Prior_levels,2,TRUE))</f>
        <v>M</v>
      </c>
    </row>
    <row r="113" spans="1:18" x14ac:dyDescent="0.2">
      <c r="A113" s="1" t="s">
        <v>51</v>
      </c>
      <c r="B113" s="1" t="s">
        <v>10</v>
      </c>
      <c r="C113" s="2">
        <v>41155</v>
      </c>
      <c r="D113" s="1">
        <v>10</v>
      </c>
      <c r="E113" s="1" t="s">
        <v>52</v>
      </c>
      <c r="I113" s="1" t="s">
        <v>12</v>
      </c>
      <c r="J113" s="1" t="s">
        <v>40</v>
      </c>
      <c r="K113" s="1" t="s">
        <v>14</v>
      </c>
      <c r="L113" s="1" t="s">
        <v>12</v>
      </c>
      <c r="M113" s="1" t="s">
        <v>12</v>
      </c>
      <c r="N113" s="1">
        <v>27.12</v>
      </c>
      <c r="O113" s="1" t="s">
        <v>31</v>
      </c>
      <c r="P113" s="1" t="s">
        <v>28</v>
      </c>
      <c r="Q113" s="1" t="s">
        <v>16</v>
      </c>
      <c r="R113" s="1" t="str">
        <f>IF(N113="","",VLOOKUP(N113,Prior_levels,2,TRUE))</f>
        <v>M</v>
      </c>
    </row>
    <row r="114" spans="1:18" x14ac:dyDescent="0.2">
      <c r="A114" s="1" t="s">
        <v>53</v>
      </c>
      <c r="B114" s="1" t="s">
        <v>12</v>
      </c>
      <c r="C114" s="2">
        <v>41155</v>
      </c>
      <c r="D114" s="1">
        <v>10</v>
      </c>
      <c r="E114" s="1" t="s">
        <v>11</v>
      </c>
      <c r="G114" s="1" t="s">
        <v>35</v>
      </c>
      <c r="H114" s="1" t="s">
        <v>54</v>
      </c>
      <c r="I114" s="1" t="s">
        <v>12</v>
      </c>
      <c r="J114" s="1" t="s">
        <v>40</v>
      </c>
      <c r="K114" s="1" t="s">
        <v>14</v>
      </c>
      <c r="L114" s="1" t="s">
        <v>35</v>
      </c>
      <c r="M114" s="1" t="s">
        <v>35</v>
      </c>
      <c r="N114" s="1">
        <v>33.18</v>
      </c>
      <c r="O114" s="1" t="s">
        <v>15</v>
      </c>
      <c r="P114" s="1">
        <v>5.0999999999999996</v>
      </c>
      <c r="Q114" s="1" t="s">
        <v>16</v>
      </c>
      <c r="R114" s="1" t="str">
        <f>IF(N114="","",VLOOKUP(N114,Prior_levels,2,TRUE))</f>
        <v>H</v>
      </c>
    </row>
    <row r="115" spans="1:18" x14ac:dyDescent="0.2">
      <c r="A115" s="1" t="s">
        <v>53</v>
      </c>
      <c r="B115" s="1" t="s">
        <v>12</v>
      </c>
      <c r="C115" s="2">
        <v>41155</v>
      </c>
      <c r="D115" s="1">
        <v>10</v>
      </c>
      <c r="E115" s="1" t="s">
        <v>11</v>
      </c>
      <c r="G115" s="1" t="s">
        <v>35</v>
      </c>
      <c r="H115" s="1" t="s">
        <v>54</v>
      </c>
      <c r="I115" s="1" t="s">
        <v>12</v>
      </c>
      <c r="J115" s="1" t="s">
        <v>40</v>
      </c>
      <c r="K115" s="1" t="s">
        <v>14</v>
      </c>
      <c r="L115" s="1" t="s">
        <v>35</v>
      </c>
      <c r="M115" s="1" t="s">
        <v>35</v>
      </c>
      <c r="N115" s="1">
        <v>33.18</v>
      </c>
      <c r="O115" s="1" t="s">
        <v>17</v>
      </c>
      <c r="P115" s="1">
        <v>-1.45</v>
      </c>
      <c r="Q115" s="1" t="s">
        <v>16</v>
      </c>
      <c r="R115" s="1" t="str">
        <f>IF(N115="","",VLOOKUP(N115,Prior_levels,2,TRUE))</f>
        <v>H</v>
      </c>
    </row>
    <row r="116" spans="1:18" x14ac:dyDescent="0.2">
      <c r="A116" s="1" t="s">
        <v>53</v>
      </c>
      <c r="B116" s="1" t="s">
        <v>12</v>
      </c>
      <c r="C116" s="2">
        <v>41155</v>
      </c>
      <c r="D116" s="1">
        <v>10</v>
      </c>
      <c r="E116" s="1" t="s">
        <v>11</v>
      </c>
      <c r="G116" s="1" t="s">
        <v>35</v>
      </c>
      <c r="H116" s="1" t="s">
        <v>54</v>
      </c>
      <c r="I116" s="1" t="s">
        <v>12</v>
      </c>
      <c r="J116" s="1" t="s">
        <v>40</v>
      </c>
      <c r="K116" s="1" t="s">
        <v>14</v>
      </c>
      <c r="L116" s="1" t="s">
        <v>35</v>
      </c>
      <c r="M116" s="1" t="s">
        <v>35</v>
      </c>
      <c r="N116" s="1">
        <v>33.18</v>
      </c>
      <c r="O116" s="1" t="s">
        <v>18</v>
      </c>
      <c r="P116" s="1">
        <v>12</v>
      </c>
      <c r="Q116" s="1" t="s">
        <v>16</v>
      </c>
      <c r="R116" s="1" t="str">
        <f>IF(N116="","",VLOOKUP(N116,Prior_levels,2,TRUE))</f>
        <v>H</v>
      </c>
    </row>
    <row r="117" spans="1:18" x14ac:dyDescent="0.2">
      <c r="A117" s="1" t="s">
        <v>53</v>
      </c>
      <c r="B117" s="1" t="s">
        <v>12</v>
      </c>
      <c r="C117" s="2">
        <v>41155</v>
      </c>
      <c r="D117" s="1">
        <v>10</v>
      </c>
      <c r="E117" s="1" t="s">
        <v>11</v>
      </c>
      <c r="G117" s="1" t="s">
        <v>35</v>
      </c>
      <c r="H117" s="1" t="s">
        <v>54</v>
      </c>
      <c r="I117" s="1" t="s">
        <v>12</v>
      </c>
      <c r="J117" s="1" t="s">
        <v>40</v>
      </c>
      <c r="K117" s="1" t="s">
        <v>14</v>
      </c>
      <c r="L117" s="1" t="s">
        <v>35</v>
      </c>
      <c r="M117" s="1" t="s">
        <v>35</v>
      </c>
      <c r="N117" s="1">
        <v>33.18</v>
      </c>
      <c r="O117" s="1" t="s">
        <v>19</v>
      </c>
      <c r="P117" s="1">
        <v>10</v>
      </c>
      <c r="Q117" s="1" t="s">
        <v>16</v>
      </c>
      <c r="R117" s="1" t="str">
        <f>IF(N117="","",VLOOKUP(N117,Prior_levels,2,TRUE))</f>
        <v>H</v>
      </c>
    </row>
    <row r="118" spans="1:18" x14ac:dyDescent="0.2">
      <c r="A118" s="1" t="s">
        <v>53</v>
      </c>
      <c r="B118" s="1" t="s">
        <v>12</v>
      </c>
      <c r="C118" s="2">
        <v>41155</v>
      </c>
      <c r="D118" s="1">
        <v>10</v>
      </c>
      <c r="E118" s="1" t="s">
        <v>11</v>
      </c>
      <c r="G118" s="1" t="s">
        <v>35</v>
      </c>
      <c r="H118" s="1" t="s">
        <v>54</v>
      </c>
      <c r="I118" s="1" t="s">
        <v>12</v>
      </c>
      <c r="J118" s="1" t="s">
        <v>40</v>
      </c>
      <c r="K118" s="1" t="s">
        <v>14</v>
      </c>
      <c r="L118" s="1" t="s">
        <v>35</v>
      </c>
      <c r="M118" s="1" t="s">
        <v>35</v>
      </c>
      <c r="N118" s="1">
        <v>33.18</v>
      </c>
      <c r="O118" s="1" t="s">
        <v>20</v>
      </c>
      <c r="P118" s="1">
        <v>13.5</v>
      </c>
      <c r="Q118" s="1" t="s">
        <v>16</v>
      </c>
      <c r="R118" s="1" t="str">
        <f>IF(N118="","",VLOOKUP(N118,Prior_levels,2,TRUE))</f>
        <v>H</v>
      </c>
    </row>
    <row r="119" spans="1:18" x14ac:dyDescent="0.2">
      <c r="A119" s="1" t="s">
        <v>53</v>
      </c>
      <c r="B119" s="1" t="s">
        <v>12</v>
      </c>
      <c r="C119" s="2">
        <v>41155</v>
      </c>
      <c r="D119" s="1">
        <v>10</v>
      </c>
      <c r="E119" s="1" t="s">
        <v>11</v>
      </c>
      <c r="G119" s="1" t="s">
        <v>35</v>
      </c>
      <c r="H119" s="1" t="s">
        <v>54</v>
      </c>
      <c r="I119" s="1" t="s">
        <v>12</v>
      </c>
      <c r="J119" s="1" t="s">
        <v>40</v>
      </c>
      <c r="K119" s="1" t="s">
        <v>14</v>
      </c>
      <c r="L119" s="1" t="s">
        <v>35</v>
      </c>
      <c r="M119" s="1" t="s">
        <v>35</v>
      </c>
      <c r="N119" s="1">
        <v>33.18</v>
      </c>
      <c r="O119" s="1" t="s">
        <v>21</v>
      </c>
      <c r="P119" s="1">
        <v>15.5</v>
      </c>
      <c r="Q119" s="1" t="s">
        <v>16</v>
      </c>
      <c r="R119" s="1" t="str">
        <f>IF(N119="","",VLOOKUP(N119,Prior_levels,2,TRUE))</f>
        <v>H</v>
      </c>
    </row>
    <row r="120" spans="1:18" x14ac:dyDescent="0.2">
      <c r="A120" s="1" t="s">
        <v>53</v>
      </c>
      <c r="B120" s="1" t="s">
        <v>12</v>
      </c>
      <c r="C120" s="2">
        <v>41155</v>
      </c>
      <c r="D120" s="1">
        <v>10</v>
      </c>
      <c r="E120" s="1" t="s">
        <v>11</v>
      </c>
      <c r="G120" s="1" t="s">
        <v>35</v>
      </c>
      <c r="H120" s="1" t="s">
        <v>54</v>
      </c>
      <c r="I120" s="1" t="s">
        <v>12</v>
      </c>
      <c r="J120" s="1" t="s">
        <v>40</v>
      </c>
      <c r="K120" s="1" t="s">
        <v>14</v>
      </c>
      <c r="L120" s="1" t="s">
        <v>35</v>
      </c>
      <c r="M120" s="1" t="s">
        <v>35</v>
      </c>
      <c r="N120" s="1">
        <v>33.18</v>
      </c>
      <c r="O120" s="1" t="s">
        <v>22</v>
      </c>
      <c r="P120" s="1">
        <v>-0.64</v>
      </c>
      <c r="Q120" s="1" t="s">
        <v>16</v>
      </c>
      <c r="R120" s="1" t="str">
        <f>IF(N120="","",VLOOKUP(N120,Prior_levels,2,TRUE))</f>
        <v>H</v>
      </c>
    </row>
    <row r="121" spans="1:18" x14ac:dyDescent="0.2">
      <c r="A121" s="1" t="s">
        <v>53</v>
      </c>
      <c r="B121" s="1" t="s">
        <v>12</v>
      </c>
      <c r="C121" s="2">
        <v>41155</v>
      </c>
      <c r="D121" s="1">
        <v>10</v>
      </c>
      <c r="E121" s="1" t="s">
        <v>11</v>
      </c>
      <c r="G121" s="1" t="s">
        <v>35</v>
      </c>
      <c r="H121" s="1" t="s">
        <v>54</v>
      </c>
      <c r="I121" s="1" t="s">
        <v>12</v>
      </c>
      <c r="J121" s="1" t="s">
        <v>40</v>
      </c>
      <c r="K121" s="1" t="s">
        <v>14</v>
      </c>
      <c r="L121" s="1" t="s">
        <v>35</v>
      </c>
      <c r="M121" s="1" t="s">
        <v>35</v>
      </c>
      <c r="N121" s="1">
        <v>33.18</v>
      </c>
      <c r="O121" s="1" t="s">
        <v>23</v>
      </c>
      <c r="P121" s="1">
        <v>-1.66</v>
      </c>
      <c r="Q121" s="1" t="s">
        <v>16</v>
      </c>
      <c r="R121" s="1" t="str">
        <f>IF(N121="","",VLOOKUP(N121,Prior_levels,2,TRUE))</f>
        <v>H</v>
      </c>
    </row>
    <row r="122" spans="1:18" x14ac:dyDescent="0.2">
      <c r="A122" s="1" t="s">
        <v>53</v>
      </c>
      <c r="B122" s="1" t="s">
        <v>12</v>
      </c>
      <c r="C122" s="2">
        <v>41155</v>
      </c>
      <c r="D122" s="1">
        <v>10</v>
      </c>
      <c r="E122" s="1" t="s">
        <v>11</v>
      </c>
      <c r="G122" s="1" t="s">
        <v>35</v>
      </c>
      <c r="H122" s="1" t="s">
        <v>54</v>
      </c>
      <c r="I122" s="1" t="s">
        <v>12</v>
      </c>
      <c r="J122" s="1" t="s">
        <v>40</v>
      </c>
      <c r="K122" s="1" t="s">
        <v>14</v>
      </c>
      <c r="L122" s="1" t="s">
        <v>35</v>
      </c>
      <c r="M122" s="1" t="s">
        <v>35</v>
      </c>
      <c r="N122" s="1">
        <v>33.18</v>
      </c>
      <c r="O122" s="1" t="s">
        <v>25</v>
      </c>
      <c r="P122" s="1">
        <v>-4.12</v>
      </c>
      <c r="Q122" s="1" t="s">
        <v>16</v>
      </c>
      <c r="R122" s="1" t="str">
        <f>IF(N122="","",VLOOKUP(N122,Prior_levels,2,TRUE))</f>
        <v>H</v>
      </c>
    </row>
    <row r="123" spans="1:18" x14ac:dyDescent="0.2">
      <c r="A123" s="1" t="s">
        <v>53</v>
      </c>
      <c r="B123" s="1" t="s">
        <v>12</v>
      </c>
      <c r="C123" s="2">
        <v>41155</v>
      </c>
      <c r="D123" s="1">
        <v>10</v>
      </c>
      <c r="E123" s="1" t="s">
        <v>11</v>
      </c>
      <c r="G123" s="1" t="s">
        <v>35</v>
      </c>
      <c r="H123" s="1" t="s">
        <v>54</v>
      </c>
      <c r="I123" s="1" t="s">
        <v>12</v>
      </c>
      <c r="J123" s="1" t="s">
        <v>40</v>
      </c>
      <c r="K123" s="1" t="s">
        <v>14</v>
      </c>
      <c r="L123" s="1" t="s">
        <v>35</v>
      </c>
      <c r="M123" s="1" t="s">
        <v>35</v>
      </c>
      <c r="N123" s="1">
        <v>33.18</v>
      </c>
      <c r="O123" s="1" t="s">
        <v>26</v>
      </c>
      <c r="P123" s="1">
        <v>9</v>
      </c>
      <c r="Q123" s="1" t="s">
        <v>16</v>
      </c>
      <c r="R123" s="1" t="str">
        <f>IF(N123="","",VLOOKUP(N123,Prior_levels,2,TRUE))</f>
        <v>H</v>
      </c>
    </row>
    <row r="124" spans="1:18" x14ac:dyDescent="0.2">
      <c r="A124" s="1" t="s">
        <v>53</v>
      </c>
      <c r="B124" s="1" t="s">
        <v>12</v>
      </c>
      <c r="C124" s="2">
        <v>41155</v>
      </c>
      <c r="D124" s="1">
        <v>10</v>
      </c>
      <c r="E124" s="1" t="s">
        <v>11</v>
      </c>
      <c r="G124" s="1" t="s">
        <v>35</v>
      </c>
      <c r="H124" s="1" t="s">
        <v>54</v>
      </c>
      <c r="I124" s="1" t="s">
        <v>12</v>
      </c>
      <c r="J124" s="1" t="s">
        <v>40</v>
      </c>
      <c r="K124" s="1" t="s">
        <v>14</v>
      </c>
      <c r="L124" s="1" t="s">
        <v>35</v>
      </c>
      <c r="M124" s="1" t="s">
        <v>35</v>
      </c>
      <c r="N124" s="1">
        <v>33.18</v>
      </c>
      <c r="O124" s="1" t="s">
        <v>24</v>
      </c>
      <c r="P124" s="1">
        <v>-5.77</v>
      </c>
      <c r="Q124" s="1" t="s">
        <v>16</v>
      </c>
      <c r="R124" s="1" t="str">
        <f>IF(N124="","",VLOOKUP(N124,Prior_levels,2,TRUE))</f>
        <v>H</v>
      </c>
    </row>
    <row r="125" spans="1:18" x14ac:dyDescent="0.2">
      <c r="A125" s="1" t="s">
        <v>53</v>
      </c>
      <c r="B125" s="1" t="s">
        <v>12</v>
      </c>
      <c r="C125" s="2">
        <v>41155</v>
      </c>
      <c r="D125" s="1">
        <v>10</v>
      </c>
      <c r="E125" s="1" t="s">
        <v>11</v>
      </c>
      <c r="G125" s="1" t="s">
        <v>35</v>
      </c>
      <c r="H125" s="1" t="s">
        <v>54</v>
      </c>
      <c r="I125" s="1" t="s">
        <v>12</v>
      </c>
      <c r="J125" s="1" t="s">
        <v>40</v>
      </c>
      <c r="K125" s="1" t="s">
        <v>14</v>
      </c>
      <c r="L125" s="1" t="s">
        <v>35</v>
      </c>
      <c r="M125" s="1" t="s">
        <v>35</v>
      </c>
      <c r="N125" s="1">
        <v>33.18</v>
      </c>
      <c r="O125" s="1" t="s">
        <v>32</v>
      </c>
      <c r="P125" s="1" t="s">
        <v>37</v>
      </c>
      <c r="Q125" s="1" t="s">
        <v>16</v>
      </c>
      <c r="R125" s="1" t="str">
        <f>IF(N125="","",VLOOKUP(N125,Prior_levels,2,TRUE))</f>
        <v>H</v>
      </c>
    </row>
    <row r="126" spans="1:18" x14ac:dyDescent="0.2">
      <c r="A126" s="1" t="s">
        <v>53</v>
      </c>
      <c r="B126" s="1" t="s">
        <v>12</v>
      </c>
      <c r="C126" s="2">
        <v>41155</v>
      </c>
      <c r="D126" s="1">
        <v>10</v>
      </c>
      <c r="E126" s="1" t="s">
        <v>11</v>
      </c>
      <c r="G126" s="1" t="s">
        <v>35</v>
      </c>
      <c r="H126" s="1" t="s">
        <v>54</v>
      </c>
      <c r="I126" s="1" t="s">
        <v>12</v>
      </c>
      <c r="J126" s="1" t="s">
        <v>40</v>
      </c>
      <c r="K126" s="1" t="s">
        <v>14</v>
      </c>
      <c r="L126" s="1" t="s">
        <v>35</v>
      </c>
      <c r="M126" s="1" t="s">
        <v>35</v>
      </c>
      <c r="N126" s="1">
        <v>33.18</v>
      </c>
      <c r="O126" s="1" t="s">
        <v>27</v>
      </c>
      <c r="P126" s="1" t="s">
        <v>37</v>
      </c>
      <c r="Q126" s="1" t="s">
        <v>16</v>
      </c>
      <c r="R126" s="1" t="str">
        <f>IF(N126="","",VLOOKUP(N126,Prior_levels,2,TRUE))</f>
        <v>H</v>
      </c>
    </row>
    <row r="127" spans="1:18" x14ac:dyDescent="0.2">
      <c r="A127" s="1" t="s">
        <v>53</v>
      </c>
      <c r="B127" s="1" t="s">
        <v>12</v>
      </c>
      <c r="C127" s="2">
        <v>41155</v>
      </c>
      <c r="D127" s="1">
        <v>10</v>
      </c>
      <c r="E127" s="1" t="s">
        <v>11</v>
      </c>
      <c r="G127" s="1" t="s">
        <v>35</v>
      </c>
      <c r="H127" s="1" t="s">
        <v>54</v>
      </c>
      <c r="I127" s="1" t="s">
        <v>12</v>
      </c>
      <c r="J127" s="1" t="s">
        <v>40</v>
      </c>
      <c r="K127" s="1" t="s">
        <v>14</v>
      </c>
      <c r="L127" s="1" t="s">
        <v>35</v>
      </c>
      <c r="M127" s="1" t="s">
        <v>35</v>
      </c>
      <c r="N127" s="1">
        <v>33.18</v>
      </c>
      <c r="O127" s="1" t="s">
        <v>29</v>
      </c>
      <c r="P127" s="1" t="s">
        <v>37</v>
      </c>
      <c r="Q127" s="1" t="s">
        <v>16</v>
      </c>
      <c r="R127" s="1" t="str">
        <f>IF(N127="","",VLOOKUP(N127,Prior_levels,2,TRUE))</f>
        <v>H</v>
      </c>
    </row>
    <row r="128" spans="1:18" x14ac:dyDescent="0.2">
      <c r="A128" s="1" t="s">
        <v>53</v>
      </c>
      <c r="B128" s="1" t="s">
        <v>12</v>
      </c>
      <c r="C128" s="2">
        <v>41155</v>
      </c>
      <c r="D128" s="1">
        <v>10</v>
      </c>
      <c r="E128" s="1" t="s">
        <v>11</v>
      </c>
      <c r="G128" s="1" t="s">
        <v>35</v>
      </c>
      <c r="H128" s="1" t="s">
        <v>54</v>
      </c>
      <c r="I128" s="1" t="s">
        <v>12</v>
      </c>
      <c r="J128" s="1" t="s">
        <v>40</v>
      </c>
      <c r="K128" s="1" t="s">
        <v>14</v>
      </c>
      <c r="L128" s="1" t="s">
        <v>35</v>
      </c>
      <c r="M128" s="1" t="s">
        <v>35</v>
      </c>
      <c r="N128" s="1">
        <v>33.18</v>
      </c>
      <c r="O128" s="1" t="s">
        <v>30</v>
      </c>
      <c r="P128" s="1" t="s">
        <v>37</v>
      </c>
      <c r="Q128" s="1" t="s">
        <v>16</v>
      </c>
      <c r="R128" s="1" t="str">
        <f>IF(N128="","",VLOOKUP(N128,Prior_levels,2,TRUE))</f>
        <v>H</v>
      </c>
    </row>
    <row r="129" spans="1:18" x14ac:dyDescent="0.2">
      <c r="A129" s="1" t="s">
        <v>53</v>
      </c>
      <c r="B129" s="1" t="s">
        <v>12</v>
      </c>
      <c r="C129" s="2">
        <v>41155</v>
      </c>
      <c r="D129" s="1">
        <v>10</v>
      </c>
      <c r="E129" s="1" t="s">
        <v>11</v>
      </c>
      <c r="G129" s="1" t="s">
        <v>35</v>
      </c>
      <c r="H129" s="1" t="s">
        <v>54</v>
      </c>
      <c r="I129" s="1" t="s">
        <v>12</v>
      </c>
      <c r="J129" s="1" t="s">
        <v>40</v>
      </c>
      <c r="K129" s="1" t="s">
        <v>14</v>
      </c>
      <c r="L129" s="1" t="s">
        <v>35</v>
      </c>
      <c r="M129" s="1" t="s">
        <v>35</v>
      </c>
      <c r="N129" s="1">
        <v>33.18</v>
      </c>
      <c r="O129" s="1" t="s">
        <v>31</v>
      </c>
      <c r="P129" s="1" t="s">
        <v>28</v>
      </c>
      <c r="Q129" s="1" t="s">
        <v>16</v>
      </c>
      <c r="R129" s="1" t="str">
        <f>IF(N129="","",VLOOKUP(N129,Prior_levels,2,TRUE))</f>
        <v>H</v>
      </c>
    </row>
    <row r="130" spans="1:18" x14ac:dyDescent="0.2">
      <c r="A130" s="1" t="s">
        <v>55</v>
      </c>
      <c r="B130" s="1" t="s">
        <v>12</v>
      </c>
      <c r="C130" s="2">
        <v>41155</v>
      </c>
      <c r="D130" s="1">
        <v>10</v>
      </c>
      <c r="E130" s="1" t="s">
        <v>42</v>
      </c>
      <c r="F130" s="1" t="s">
        <v>28</v>
      </c>
      <c r="H130" s="1" t="s">
        <v>48</v>
      </c>
      <c r="I130" s="1" t="s">
        <v>12</v>
      </c>
      <c r="J130" s="1" t="s">
        <v>56</v>
      </c>
      <c r="K130" s="1" t="s">
        <v>57</v>
      </c>
      <c r="L130" s="1" t="s">
        <v>35</v>
      </c>
      <c r="M130" s="1" t="s">
        <v>35</v>
      </c>
      <c r="N130" s="1">
        <v>33.18</v>
      </c>
      <c r="O130" s="1" t="s">
        <v>15</v>
      </c>
      <c r="P130" s="1">
        <v>6.7</v>
      </c>
      <c r="Q130" s="1" t="s">
        <v>16</v>
      </c>
      <c r="R130" s="1" t="str">
        <f>IF(N130="","",VLOOKUP(N130,Prior_levels,2,TRUE))</f>
        <v>H</v>
      </c>
    </row>
    <row r="131" spans="1:18" x14ac:dyDescent="0.2">
      <c r="A131" s="1" t="s">
        <v>55</v>
      </c>
      <c r="B131" s="1" t="s">
        <v>12</v>
      </c>
      <c r="C131" s="2">
        <v>41155</v>
      </c>
      <c r="D131" s="1">
        <v>10</v>
      </c>
      <c r="E131" s="1" t="s">
        <v>42</v>
      </c>
      <c r="F131" s="1" t="s">
        <v>28</v>
      </c>
      <c r="H131" s="1" t="s">
        <v>48</v>
      </c>
      <c r="I131" s="1" t="s">
        <v>12</v>
      </c>
      <c r="J131" s="1" t="s">
        <v>56</v>
      </c>
      <c r="K131" s="1" t="s">
        <v>57</v>
      </c>
      <c r="L131" s="1" t="s">
        <v>35</v>
      </c>
      <c r="M131" s="1" t="s">
        <v>35</v>
      </c>
      <c r="N131" s="1">
        <v>33.18</v>
      </c>
      <c r="O131" s="1" t="s">
        <v>17</v>
      </c>
      <c r="P131" s="1">
        <v>0.15</v>
      </c>
      <c r="Q131" s="1" t="s">
        <v>16</v>
      </c>
      <c r="R131" s="1" t="str">
        <f>IF(N131="","",VLOOKUP(N131,Prior_levels,2,TRUE))</f>
        <v>H</v>
      </c>
    </row>
    <row r="132" spans="1:18" x14ac:dyDescent="0.2">
      <c r="A132" s="1" t="s">
        <v>55</v>
      </c>
      <c r="B132" s="1" t="s">
        <v>12</v>
      </c>
      <c r="C132" s="2">
        <v>41155</v>
      </c>
      <c r="D132" s="1">
        <v>10</v>
      </c>
      <c r="E132" s="1" t="s">
        <v>42</v>
      </c>
      <c r="F132" s="1" t="s">
        <v>28</v>
      </c>
      <c r="H132" s="1" t="s">
        <v>48</v>
      </c>
      <c r="I132" s="1" t="s">
        <v>12</v>
      </c>
      <c r="J132" s="1" t="s">
        <v>56</v>
      </c>
      <c r="K132" s="1" t="s">
        <v>57</v>
      </c>
      <c r="L132" s="1" t="s">
        <v>35</v>
      </c>
      <c r="M132" s="1" t="s">
        <v>35</v>
      </c>
      <c r="N132" s="1">
        <v>33.18</v>
      </c>
      <c r="O132" s="1" t="s">
        <v>18</v>
      </c>
      <c r="P132" s="1">
        <v>12</v>
      </c>
      <c r="Q132" s="1" t="s">
        <v>16</v>
      </c>
      <c r="R132" s="1" t="str">
        <f>IF(N132="","",VLOOKUP(N132,Prior_levels,2,TRUE))</f>
        <v>H</v>
      </c>
    </row>
    <row r="133" spans="1:18" x14ac:dyDescent="0.2">
      <c r="A133" s="1" t="s">
        <v>55</v>
      </c>
      <c r="B133" s="1" t="s">
        <v>12</v>
      </c>
      <c r="C133" s="2">
        <v>41155</v>
      </c>
      <c r="D133" s="1">
        <v>10</v>
      </c>
      <c r="E133" s="1" t="s">
        <v>42</v>
      </c>
      <c r="F133" s="1" t="s">
        <v>28</v>
      </c>
      <c r="H133" s="1" t="s">
        <v>48</v>
      </c>
      <c r="I133" s="1" t="s">
        <v>12</v>
      </c>
      <c r="J133" s="1" t="s">
        <v>56</v>
      </c>
      <c r="K133" s="1" t="s">
        <v>57</v>
      </c>
      <c r="L133" s="1" t="s">
        <v>35</v>
      </c>
      <c r="M133" s="1" t="s">
        <v>35</v>
      </c>
      <c r="N133" s="1">
        <v>33.18</v>
      </c>
      <c r="O133" s="1" t="s">
        <v>19</v>
      </c>
      <c r="P133" s="1">
        <v>14</v>
      </c>
      <c r="Q133" s="1" t="s">
        <v>16</v>
      </c>
      <c r="R133" s="1" t="str">
        <f>IF(N133="","",VLOOKUP(N133,Prior_levels,2,TRUE))</f>
        <v>H</v>
      </c>
    </row>
    <row r="134" spans="1:18" x14ac:dyDescent="0.2">
      <c r="A134" s="1" t="s">
        <v>55</v>
      </c>
      <c r="B134" s="1" t="s">
        <v>12</v>
      </c>
      <c r="C134" s="2">
        <v>41155</v>
      </c>
      <c r="D134" s="1">
        <v>10</v>
      </c>
      <c r="E134" s="1" t="s">
        <v>42</v>
      </c>
      <c r="F134" s="1" t="s">
        <v>28</v>
      </c>
      <c r="H134" s="1" t="s">
        <v>48</v>
      </c>
      <c r="I134" s="1" t="s">
        <v>12</v>
      </c>
      <c r="J134" s="1" t="s">
        <v>56</v>
      </c>
      <c r="K134" s="1" t="s">
        <v>57</v>
      </c>
      <c r="L134" s="1" t="s">
        <v>35</v>
      </c>
      <c r="M134" s="1" t="s">
        <v>35</v>
      </c>
      <c r="N134" s="1">
        <v>33.18</v>
      </c>
      <c r="O134" s="1" t="s">
        <v>20</v>
      </c>
      <c r="P134" s="1">
        <v>21</v>
      </c>
      <c r="Q134" s="1" t="s">
        <v>16</v>
      </c>
      <c r="R134" s="1" t="str">
        <f>IF(N134="","",VLOOKUP(N134,Prior_levels,2,TRUE))</f>
        <v>H</v>
      </c>
    </row>
    <row r="135" spans="1:18" x14ac:dyDescent="0.2">
      <c r="A135" s="1" t="s">
        <v>55</v>
      </c>
      <c r="B135" s="1" t="s">
        <v>12</v>
      </c>
      <c r="C135" s="2">
        <v>41155</v>
      </c>
      <c r="D135" s="1">
        <v>10</v>
      </c>
      <c r="E135" s="1" t="s">
        <v>42</v>
      </c>
      <c r="F135" s="1" t="s">
        <v>28</v>
      </c>
      <c r="H135" s="1" t="s">
        <v>48</v>
      </c>
      <c r="I135" s="1" t="s">
        <v>12</v>
      </c>
      <c r="J135" s="1" t="s">
        <v>56</v>
      </c>
      <c r="K135" s="1" t="s">
        <v>57</v>
      </c>
      <c r="L135" s="1" t="s">
        <v>35</v>
      </c>
      <c r="M135" s="1" t="s">
        <v>35</v>
      </c>
      <c r="N135" s="1">
        <v>33.18</v>
      </c>
      <c r="O135" s="1" t="s">
        <v>21</v>
      </c>
      <c r="P135" s="1">
        <v>20</v>
      </c>
      <c r="Q135" s="1" t="s">
        <v>16</v>
      </c>
      <c r="R135" s="1" t="str">
        <f>IF(N135="","",VLOOKUP(N135,Prior_levels,2,TRUE))</f>
        <v>H</v>
      </c>
    </row>
    <row r="136" spans="1:18" x14ac:dyDescent="0.2">
      <c r="A136" s="1" t="s">
        <v>55</v>
      </c>
      <c r="B136" s="1" t="s">
        <v>12</v>
      </c>
      <c r="C136" s="2">
        <v>41155</v>
      </c>
      <c r="D136" s="1">
        <v>10</v>
      </c>
      <c r="E136" s="1" t="s">
        <v>42</v>
      </c>
      <c r="F136" s="1" t="s">
        <v>28</v>
      </c>
      <c r="H136" s="1" t="s">
        <v>48</v>
      </c>
      <c r="I136" s="1" t="s">
        <v>12</v>
      </c>
      <c r="J136" s="1" t="s">
        <v>56</v>
      </c>
      <c r="K136" s="1" t="s">
        <v>57</v>
      </c>
      <c r="L136" s="1" t="s">
        <v>35</v>
      </c>
      <c r="M136" s="1" t="s">
        <v>35</v>
      </c>
      <c r="N136" s="1">
        <v>33.18</v>
      </c>
      <c r="O136" s="1" t="s">
        <v>22</v>
      </c>
      <c r="P136" s="1">
        <v>-0.64</v>
      </c>
      <c r="Q136" s="1" t="s">
        <v>16</v>
      </c>
      <c r="R136" s="1" t="str">
        <f>IF(N136="","",VLOOKUP(N136,Prior_levels,2,TRUE))</f>
        <v>H</v>
      </c>
    </row>
    <row r="137" spans="1:18" x14ac:dyDescent="0.2">
      <c r="A137" s="1" t="s">
        <v>55</v>
      </c>
      <c r="B137" s="1" t="s">
        <v>12</v>
      </c>
      <c r="C137" s="2">
        <v>41155</v>
      </c>
      <c r="D137" s="1">
        <v>10</v>
      </c>
      <c r="E137" s="1" t="s">
        <v>42</v>
      </c>
      <c r="F137" s="1" t="s">
        <v>28</v>
      </c>
      <c r="H137" s="1" t="s">
        <v>48</v>
      </c>
      <c r="I137" s="1" t="s">
        <v>12</v>
      </c>
      <c r="J137" s="1" t="s">
        <v>56</v>
      </c>
      <c r="K137" s="1" t="s">
        <v>57</v>
      </c>
      <c r="L137" s="1" t="s">
        <v>35</v>
      </c>
      <c r="M137" s="1" t="s">
        <v>35</v>
      </c>
      <c r="N137" s="1">
        <v>33.18</v>
      </c>
      <c r="O137" s="1" t="s">
        <v>23</v>
      </c>
      <c r="P137" s="1">
        <v>0.34</v>
      </c>
      <c r="Q137" s="1" t="s">
        <v>16</v>
      </c>
      <c r="R137" s="1" t="str">
        <f>IF(N137="","",VLOOKUP(N137,Prior_levels,2,TRUE))</f>
        <v>H</v>
      </c>
    </row>
    <row r="138" spans="1:18" x14ac:dyDescent="0.2">
      <c r="A138" s="1" t="s">
        <v>55</v>
      </c>
      <c r="B138" s="1" t="s">
        <v>12</v>
      </c>
      <c r="C138" s="2">
        <v>41155</v>
      </c>
      <c r="D138" s="1">
        <v>10</v>
      </c>
      <c r="E138" s="1" t="s">
        <v>42</v>
      </c>
      <c r="F138" s="1" t="s">
        <v>28</v>
      </c>
      <c r="H138" s="1" t="s">
        <v>48</v>
      </c>
      <c r="I138" s="1" t="s">
        <v>12</v>
      </c>
      <c r="J138" s="1" t="s">
        <v>56</v>
      </c>
      <c r="K138" s="1" t="s">
        <v>57</v>
      </c>
      <c r="L138" s="1" t="s">
        <v>35</v>
      </c>
      <c r="M138" s="1" t="s">
        <v>35</v>
      </c>
      <c r="N138" s="1">
        <v>33.18</v>
      </c>
      <c r="O138" s="1" t="s">
        <v>24</v>
      </c>
      <c r="P138" s="1">
        <v>1.73</v>
      </c>
      <c r="Q138" s="1" t="s">
        <v>16</v>
      </c>
      <c r="R138" s="1" t="str">
        <f>IF(N138="","",VLOOKUP(N138,Prior_levels,2,TRUE))</f>
        <v>H</v>
      </c>
    </row>
    <row r="139" spans="1:18" x14ac:dyDescent="0.2">
      <c r="A139" s="1" t="s">
        <v>55</v>
      </c>
      <c r="B139" s="1" t="s">
        <v>12</v>
      </c>
      <c r="C139" s="2">
        <v>41155</v>
      </c>
      <c r="D139" s="1">
        <v>10</v>
      </c>
      <c r="E139" s="1" t="s">
        <v>42</v>
      </c>
      <c r="F139" s="1" t="s">
        <v>28</v>
      </c>
      <c r="H139" s="1" t="s">
        <v>48</v>
      </c>
      <c r="I139" s="1" t="s">
        <v>12</v>
      </c>
      <c r="J139" s="1" t="s">
        <v>56</v>
      </c>
      <c r="K139" s="1" t="s">
        <v>57</v>
      </c>
      <c r="L139" s="1" t="s">
        <v>35</v>
      </c>
      <c r="M139" s="1" t="s">
        <v>35</v>
      </c>
      <c r="N139" s="1">
        <v>33.18</v>
      </c>
      <c r="O139" s="1" t="s">
        <v>25</v>
      </c>
      <c r="P139" s="1">
        <v>0.38</v>
      </c>
      <c r="Q139" s="1" t="s">
        <v>16</v>
      </c>
      <c r="R139" s="1" t="str">
        <f>IF(N139="","",VLOOKUP(N139,Prior_levels,2,TRUE))</f>
        <v>H</v>
      </c>
    </row>
    <row r="140" spans="1:18" x14ac:dyDescent="0.2">
      <c r="A140" s="1" t="s">
        <v>55</v>
      </c>
      <c r="B140" s="1" t="s">
        <v>12</v>
      </c>
      <c r="C140" s="2">
        <v>41155</v>
      </c>
      <c r="D140" s="1">
        <v>10</v>
      </c>
      <c r="E140" s="1" t="s">
        <v>42</v>
      </c>
      <c r="F140" s="1" t="s">
        <v>28</v>
      </c>
      <c r="H140" s="1" t="s">
        <v>48</v>
      </c>
      <c r="I140" s="1" t="s">
        <v>12</v>
      </c>
      <c r="J140" s="1" t="s">
        <v>56</v>
      </c>
      <c r="K140" s="1" t="s">
        <v>57</v>
      </c>
      <c r="L140" s="1" t="s">
        <v>35</v>
      </c>
      <c r="M140" s="1" t="s">
        <v>35</v>
      </c>
      <c r="N140" s="1">
        <v>33.18</v>
      </c>
      <c r="O140" s="1" t="s">
        <v>26</v>
      </c>
      <c r="P140" s="1">
        <v>12</v>
      </c>
      <c r="Q140" s="1" t="s">
        <v>16</v>
      </c>
      <c r="R140" s="1" t="str">
        <f>IF(N140="","",VLOOKUP(N140,Prior_levels,2,TRUE))</f>
        <v>H</v>
      </c>
    </row>
    <row r="141" spans="1:18" x14ac:dyDescent="0.2">
      <c r="A141" s="1" t="s">
        <v>55</v>
      </c>
      <c r="B141" s="1" t="s">
        <v>12</v>
      </c>
      <c r="C141" s="2">
        <v>41155</v>
      </c>
      <c r="D141" s="1">
        <v>10</v>
      </c>
      <c r="E141" s="1" t="s">
        <v>42</v>
      </c>
      <c r="F141" s="1" t="s">
        <v>28</v>
      </c>
      <c r="H141" s="1" t="s">
        <v>48</v>
      </c>
      <c r="I141" s="1" t="s">
        <v>12</v>
      </c>
      <c r="J141" s="1" t="s">
        <v>56</v>
      </c>
      <c r="K141" s="1" t="s">
        <v>57</v>
      </c>
      <c r="L141" s="1" t="s">
        <v>35</v>
      </c>
      <c r="M141" s="1" t="s">
        <v>35</v>
      </c>
      <c r="N141" s="1">
        <v>33.18</v>
      </c>
      <c r="O141" s="1" t="s">
        <v>27</v>
      </c>
      <c r="P141" s="1" t="s">
        <v>37</v>
      </c>
      <c r="Q141" s="1" t="s">
        <v>16</v>
      </c>
      <c r="R141" s="1" t="str">
        <f>IF(N141="","",VLOOKUP(N141,Prior_levels,2,TRUE))</f>
        <v>H</v>
      </c>
    </row>
    <row r="142" spans="1:18" x14ac:dyDescent="0.2">
      <c r="A142" s="1" t="s">
        <v>55</v>
      </c>
      <c r="B142" s="1" t="s">
        <v>12</v>
      </c>
      <c r="C142" s="2">
        <v>41155</v>
      </c>
      <c r="D142" s="1">
        <v>10</v>
      </c>
      <c r="E142" s="1" t="s">
        <v>42</v>
      </c>
      <c r="F142" s="1" t="s">
        <v>28</v>
      </c>
      <c r="H142" s="1" t="s">
        <v>48</v>
      </c>
      <c r="I142" s="1" t="s">
        <v>12</v>
      </c>
      <c r="J142" s="1" t="s">
        <v>56</v>
      </c>
      <c r="K142" s="1" t="s">
        <v>57</v>
      </c>
      <c r="L142" s="1" t="s">
        <v>35</v>
      </c>
      <c r="M142" s="1" t="s">
        <v>35</v>
      </c>
      <c r="N142" s="1">
        <v>33.18</v>
      </c>
      <c r="O142" s="1" t="s">
        <v>29</v>
      </c>
      <c r="P142" s="1" t="s">
        <v>37</v>
      </c>
      <c r="Q142" s="1" t="s">
        <v>16</v>
      </c>
      <c r="R142" s="1" t="str">
        <f>IF(N142="","",VLOOKUP(N142,Prior_levels,2,TRUE))</f>
        <v>H</v>
      </c>
    </row>
    <row r="143" spans="1:18" x14ac:dyDescent="0.2">
      <c r="A143" s="1" t="s">
        <v>55</v>
      </c>
      <c r="B143" s="1" t="s">
        <v>12</v>
      </c>
      <c r="C143" s="2">
        <v>41155</v>
      </c>
      <c r="D143" s="1">
        <v>10</v>
      </c>
      <c r="E143" s="1" t="s">
        <v>42</v>
      </c>
      <c r="F143" s="1" t="s">
        <v>28</v>
      </c>
      <c r="H143" s="1" t="s">
        <v>48</v>
      </c>
      <c r="I143" s="1" t="s">
        <v>12</v>
      </c>
      <c r="J143" s="1" t="s">
        <v>56</v>
      </c>
      <c r="K143" s="1" t="s">
        <v>57</v>
      </c>
      <c r="L143" s="1" t="s">
        <v>35</v>
      </c>
      <c r="M143" s="1" t="s">
        <v>35</v>
      </c>
      <c r="N143" s="1">
        <v>33.18</v>
      </c>
      <c r="O143" s="1" t="s">
        <v>30</v>
      </c>
      <c r="P143" s="1" t="s">
        <v>37</v>
      </c>
      <c r="Q143" s="1" t="s">
        <v>16</v>
      </c>
      <c r="R143" s="1" t="str">
        <f>IF(N143="","",VLOOKUP(N143,Prior_levels,2,TRUE))</f>
        <v>H</v>
      </c>
    </row>
    <row r="144" spans="1:18" x14ac:dyDescent="0.2">
      <c r="A144" s="1" t="s">
        <v>55</v>
      </c>
      <c r="B144" s="1" t="s">
        <v>12</v>
      </c>
      <c r="C144" s="2">
        <v>41155</v>
      </c>
      <c r="D144" s="1">
        <v>10</v>
      </c>
      <c r="E144" s="1" t="s">
        <v>42</v>
      </c>
      <c r="F144" s="1" t="s">
        <v>28</v>
      </c>
      <c r="H144" s="1" t="s">
        <v>48</v>
      </c>
      <c r="I144" s="1" t="s">
        <v>12</v>
      </c>
      <c r="J144" s="1" t="s">
        <v>56</v>
      </c>
      <c r="K144" s="1" t="s">
        <v>57</v>
      </c>
      <c r="L144" s="1" t="s">
        <v>35</v>
      </c>
      <c r="M144" s="1" t="s">
        <v>35</v>
      </c>
      <c r="N144" s="1">
        <v>33.18</v>
      </c>
      <c r="O144" s="1" t="s">
        <v>31</v>
      </c>
      <c r="P144" s="1" t="s">
        <v>37</v>
      </c>
      <c r="Q144" s="1" t="s">
        <v>16</v>
      </c>
      <c r="R144" s="1" t="str">
        <f>IF(N144="","",VLOOKUP(N144,Prior_levels,2,TRUE))</f>
        <v>H</v>
      </c>
    </row>
    <row r="145" spans="1:18" x14ac:dyDescent="0.2">
      <c r="A145" s="1" t="s">
        <v>55</v>
      </c>
      <c r="B145" s="1" t="s">
        <v>12</v>
      </c>
      <c r="C145" s="2">
        <v>41155</v>
      </c>
      <c r="D145" s="1">
        <v>10</v>
      </c>
      <c r="E145" s="1" t="s">
        <v>42</v>
      </c>
      <c r="F145" s="1" t="s">
        <v>28</v>
      </c>
      <c r="H145" s="1" t="s">
        <v>48</v>
      </c>
      <c r="I145" s="1" t="s">
        <v>12</v>
      </c>
      <c r="J145" s="1" t="s">
        <v>56</v>
      </c>
      <c r="K145" s="1" t="s">
        <v>57</v>
      </c>
      <c r="L145" s="1" t="s">
        <v>35</v>
      </c>
      <c r="M145" s="1" t="s">
        <v>35</v>
      </c>
      <c r="N145" s="1">
        <v>33.18</v>
      </c>
      <c r="O145" s="1" t="s">
        <v>32</v>
      </c>
      <c r="P145" s="1" t="s">
        <v>37</v>
      </c>
      <c r="Q145" s="1" t="s">
        <v>16</v>
      </c>
      <c r="R145" s="1" t="str">
        <f>IF(N145="","",VLOOKUP(N145,Prior_levels,2,TRUE))</f>
        <v>H</v>
      </c>
    </row>
    <row r="146" spans="1:18" x14ac:dyDescent="0.2">
      <c r="A146" s="1" t="s">
        <v>58</v>
      </c>
      <c r="B146" s="1" t="s">
        <v>10</v>
      </c>
      <c r="C146" s="2">
        <v>41155</v>
      </c>
      <c r="D146" s="1">
        <v>10</v>
      </c>
      <c r="E146" s="1" t="s">
        <v>39</v>
      </c>
      <c r="I146" s="1" t="s">
        <v>12</v>
      </c>
      <c r="J146" s="1" t="s">
        <v>40</v>
      </c>
      <c r="K146" s="1" t="s">
        <v>14</v>
      </c>
      <c r="L146" s="1" t="s">
        <v>12</v>
      </c>
      <c r="M146" s="1" t="s">
        <v>12</v>
      </c>
      <c r="N146" s="1">
        <v>27.12</v>
      </c>
      <c r="O146" s="1" t="s">
        <v>15</v>
      </c>
      <c r="P146" s="1">
        <v>5.05</v>
      </c>
      <c r="Q146" s="1" t="s">
        <v>16</v>
      </c>
      <c r="R146" s="1" t="str">
        <f>IF(N146="","",VLOOKUP(N146,Prior_levels,2,TRUE))</f>
        <v>M</v>
      </c>
    </row>
    <row r="147" spans="1:18" x14ac:dyDescent="0.2">
      <c r="A147" s="1" t="s">
        <v>58</v>
      </c>
      <c r="B147" s="1" t="s">
        <v>10</v>
      </c>
      <c r="C147" s="2">
        <v>41155</v>
      </c>
      <c r="D147" s="1">
        <v>10</v>
      </c>
      <c r="E147" s="1" t="s">
        <v>39</v>
      </c>
      <c r="I147" s="1" t="s">
        <v>12</v>
      </c>
      <c r="J147" s="1" t="s">
        <v>40</v>
      </c>
      <c r="K147" s="1" t="s">
        <v>14</v>
      </c>
      <c r="L147" s="1" t="s">
        <v>12</v>
      </c>
      <c r="M147" s="1" t="s">
        <v>12</v>
      </c>
      <c r="N147" s="1">
        <v>27.12</v>
      </c>
      <c r="O147" s="1" t="s">
        <v>17</v>
      </c>
      <c r="P147" s="1">
        <v>0.5</v>
      </c>
      <c r="Q147" s="1" t="s">
        <v>16</v>
      </c>
      <c r="R147" s="1" t="str">
        <f>IF(N147="","",VLOOKUP(N147,Prior_levels,2,TRUE))</f>
        <v>M</v>
      </c>
    </row>
    <row r="148" spans="1:18" x14ac:dyDescent="0.2">
      <c r="A148" s="1" t="s">
        <v>58</v>
      </c>
      <c r="B148" s="1" t="s">
        <v>10</v>
      </c>
      <c r="C148" s="2">
        <v>41155</v>
      </c>
      <c r="D148" s="1">
        <v>10</v>
      </c>
      <c r="E148" s="1" t="s">
        <v>39</v>
      </c>
      <c r="I148" s="1" t="s">
        <v>12</v>
      </c>
      <c r="J148" s="1" t="s">
        <v>40</v>
      </c>
      <c r="K148" s="1" t="s">
        <v>14</v>
      </c>
      <c r="L148" s="1" t="s">
        <v>12</v>
      </c>
      <c r="M148" s="1" t="s">
        <v>12</v>
      </c>
      <c r="N148" s="1">
        <v>27.12</v>
      </c>
      <c r="O148" s="1" t="s">
        <v>18</v>
      </c>
      <c r="P148" s="1">
        <v>10</v>
      </c>
      <c r="Q148" s="1" t="s">
        <v>16</v>
      </c>
      <c r="R148" s="1" t="str">
        <f>IF(N148="","",VLOOKUP(N148,Prior_levels,2,TRUE))</f>
        <v>M</v>
      </c>
    </row>
    <row r="149" spans="1:18" x14ac:dyDescent="0.2">
      <c r="A149" s="1" t="s">
        <v>58</v>
      </c>
      <c r="B149" s="1" t="s">
        <v>10</v>
      </c>
      <c r="C149" s="2">
        <v>41155</v>
      </c>
      <c r="D149" s="1">
        <v>10</v>
      </c>
      <c r="E149" s="1" t="s">
        <v>39</v>
      </c>
      <c r="I149" s="1" t="s">
        <v>12</v>
      </c>
      <c r="J149" s="1" t="s">
        <v>40</v>
      </c>
      <c r="K149" s="1" t="s">
        <v>14</v>
      </c>
      <c r="L149" s="1" t="s">
        <v>12</v>
      </c>
      <c r="M149" s="1" t="s">
        <v>12</v>
      </c>
      <c r="N149" s="1">
        <v>27.12</v>
      </c>
      <c r="O149" s="1" t="s">
        <v>19</v>
      </c>
      <c r="P149" s="1">
        <v>12</v>
      </c>
      <c r="Q149" s="1" t="s">
        <v>16</v>
      </c>
      <c r="R149" s="1" t="str">
        <f>IF(N149="","",VLOOKUP(N149,Prior_levels,2,TRUE))</f>
        <v>M</v>
      </c>
    </row>
    <row r="150" spans="1:18" x14ac:dyDescent="0.2">
      <c r="A150" s="1" t="s">
        <v>58</v>
      </c>
      <c r="B150" s="1" t="s">
        <v>10</v>
      </c>
      <c r="C150" s="2">
        <v>41155</v>
      </c>
      <c r="D150" s="1">
        <v>10</v>
      </c>
      <c r="E150" s="1" t="s">
        <v>39</v>
      </c>
      <c r="I150" s="1" t="s">
        <v>12</v>
      </c>
      <c r="J150" s="1" t="s">
        <v>40</v>
      </c>
      <c r="K150" s="1" t="s">
        <v>14</v>
      </c>
      <c r="L150" s="1" t="s">
        <v>12</v>
      </c>
      <c r="M150" s="1" t="s">
        <v>12</v>
      </c>
      <c r="N150" s="1">
        <v>27.12</v>
      </c>
      <c r="O150" s="1" t="s">
        <v>20</v>
      </c>
      <c r="P150" s="1">
        <v>16.5</v>
      </c>
      <c r="Q150" s="1" t="s">
        <v>16</v>
      </c>
      <c r="R150" s="1" t="str">
        <f>IF(N150="","",VLOOKUP(N150,Prior_levels,2,TRUE))</f>
        <v>M</v>
      </c>
    </row>
    <row r="151" spans="1:18" x14ac:dyDescent="0.2">
      <c r="A151" s="1" t="s">
        <v>58</v>
      </c>
      <c r="B151" s="1" t="s">
        <v>10</v>
      </c>
      <c r="C151" s="2">
        <v>41155</v>
      </c>
      <c r="D151" s="1">
        <v>10</v>
      </c>
      <c r="E151" s="1" t="s">
        <v>39</v>
      </c>
      <c r="I151" s="1" t="s">
        <v>12</v>
      </c>
      <c r="J151" s="1" t="s">
        <v>40</v>
      </c>
      <c r="K151" s="1" t="s">
        <v>14</v>
      </c>
      <c r="L151" s="1" t="s">
        <v>12</v>
      </c>
      <c r="M151" s="1" t="s">
        <v>12</v>
      </c>
      <c r="N151" s="1">
        <v>27.12</v>
      </c>
      <c r="O151" s="1" t="s">
        <v>21</v>
      </c>
      <c r="P151" s="1">
        <v>12</v>
      </c>
      <c r="Q151" s="1" t="s">
        <v>16</v>
      </c>
      <c r="R151" s="1" t="str">
        <f>IF(N151="","",VLOOKUP(N151,Prior_levels,2,TRUE))</f>
        <v>M</v>
      </c>
    </row>
    <row r="152" spans="1:18" x14ac:dyDescent="0.2">
      <c r="A152" s="1" t="s">
        <v>58</v>
      </c>
      <c r="B152" s="1" t="s">
        <v>10</v>
      </c>
      <c r="C152" s="2">
        <v>41155</v>
      </c>
      <c r="D152" s="1">
        <v>10</v>
      </c>
      <c r="E152" s="1" t="s">
        <v>39</v>
      </c>
      <c r="I152" s="1" t="s">
        <v>12</v>
      </c>
      <c r="J152" s="1" t="s">
        <v>40</v>
      </c>
      <c r="K152" s="1" t="s">
        <v>14</v>
      </c>
      <c r="L152" s="1" t="s">
        <v>12</v>
      </c>
      <c r="M152" s="1" t="s">
        <v>12</v>
      </c>
      <c r="N152" s="1">
        <v>27.12</v>
      </c>
      <c r="O152" s="1" t="s">
        <v>22</v>
      </c>
      <c r="P152" s="1">
        <v>-0.05</v>
      </c>
      <c r="Q152" s="1" t="s">
        <v>16</v>
      </c>
      <c r="R152" s="1" t="str">
        <f>IF(N152="","",VLOOKUP(N152,Prior_levels,2,TRUE))</f>
        <v>M</v>
      </c>
    </row>
    <row r="153" spans="1:18" x14ac:dyDescent="0.2">
      <c r="A153" s="1" t="s">
        <v>58</v>
      </c>
      <c r="B153" s="1" t="s">
        <v>10</v>
      </c>
      <c r="C153" s="2">
        <v>41155</v>
      </c>
      <c r="D153" s="1">
        <v>10</v>
      </c>
      <c r="E153" s="1" t="s">
        <v>39</v>
      </c>
      <c r="I153" s="1" t="s">
        <v>12</v>
      </c>
      <c r="J153" s="1" t="s">
        <v>40</v>
      </c>
      <c r="K153" s="1" t="s">
        <v>14</v>
      </c>
      <c r="L153" s="1" t="s">
        <v>12</v>
      </c>
      <c r="M153" s="1" t="s">
        <v>12</v>
      </c>
      <c r="N153" s="1">
        <v>27.12</v>
      </c>
      <c r="O153" s="1" t="s">
        <v>23</v>
      </c>
      <c r="P153" s="1">
        <v>1.36</v>
      </c>
      <c r="Q153" s="1" t="s">
        <v>16</v>
      </c>
      <c r="R153" s="1" t="str">
        <f>IF(N153="","",VLOOKUP(N153,Prior_levels,2,TRUE))</f>
        <v>M</v>
      </c>
    </row>
    <row r="154" spans="1:18" x14ac:dyDescent="0.2">
      <c r="A154" s="1" t="s">
        <v>58</v>
      </c>
      <c r="B154" s="1" t="s">
        <v>10</v>
      </c>
      <c r="C154" s="2">
        <v>41155</v>
      </c>
      <c r="D154" s="1">
        <v>10</v>
      </c>
      <c r="E154" s="1" t="s">
        <v>39</v>
      </c>
      <c r="I154" s="1" t="s">
        <v>12</v>
      </c>
      <c r="J154" s="1" t="s">
        <v>40</v>
      </c>
      <c r="K154" s="1" t="s">
        <v>14</v>
      </c>
      <c r="L154" s="1" t="s">
        <v>12</v>
      </c>
      <c r="M154" s="1" t="s">
        <v>12</v>
      </c>
      <c r="N154" s="1">
        <v>27.12</v>
      </c>
      <c r="O154" s="1" t="s">
        <v>25</v>
      </c>
      <c r="P154" s="1">
        <v>-2.89</v>
      </c>
      <c r="Q154" s="1" t="s">
        <v>16</v>
      </c>
      <c r="R154" s="1" t="str">
        <f>IF(N154="","",VLOOKUP(N154,Prior_levels,2,TRUE))</f>
        <v>M</v>
      </c>
    </row>
    <row r="155" spans="1:18" x14ac:dyDescent="0.2">
      <c r="A155" s="1" t="s">
        <v>58</v>
      </c>
      <c r="B155" s="1" t="s">
        <v>10</v>
      </c>
      <c r="C155" s="2">
        <v>41155</v>
      </c>
      <c r="D155" s="1">
        <v>10</v>
      </c>
      <c r="E155" s="1" t="s">
        <v>39</v>
      </c>
      <c r="I155" s="1" t="s">
        <v>12</v>
      </c>
      <c r="J155" s="1" t="s">
        <v>40</v>
      </c>
      <c r="K155" s="1" t="s">
        <v>14</v>
      </c>
      <c r="L155" s="1" t="s">
        <v>12</v>
      </c>
      <c r="M155" s="1" t="s">
        <v>12</v>
      </c>
      <c r="N155" s="1">
        <v>27.12</v>
      </c>
      <c r="O155" s="1" t="s">
        <v>26</v>
      </c>
      <c r="P155" s="1">
        <v>7</v>
      </c>
      <c r="Q155" s="1" t="s">
        <v>16</v>
      </c>
      <c r="R155" s="1" t="str">
        <f>IF(N155="","",VLOOKUP(N155,Prior_levels,2,TRUE))</f>
        <v>M</v>
      </c>
    </row>
    <row r="156" spans="1:18" x14ac:dyDescent="0.2">
      <c r="A156" s="1" t="s">
        <v>58</v>
      </c>
      <c r="B156" s="1" t="s">
        <v>10</v>
      </c>
      <c r="C156" s="2">
        <v>41155</v>
      </c>
      <c r="D156" s="1">
        <v>10</v>
      </c>
      <c r="E156" s="1" t="s">
        <v>39</v>
      </c>
      <c r="I156" s="1" t="s">
        <v>12</v>
      </c>
      <c r="J156" s="1" t="s">
        <v>40</v>
      </c>
      <c r="K156" s="1" t="s">
        <v>14</v>
      </c>
      <c r="L156" s="1" t="s">
        <v>12</v>
      </c>
      <c r="M156" s="1" t="s">
        <v>12</v>
      </c>
      <c r="N156" s="1">
        <v>27.12</v>
      </c>
      <c r="O156" s="1" t="s">
        <v>24</v>
      </c>
      <c r="P156" s="1">
        <v>5.25</v>
      </c>
      <c r="Q156" s="1" t="s">
        <v>16</v>
      </c>
      <c r="R156" s="1" t="str">
        <f>IF(N156="","",VLOOKUP(N156,Prior_levels,2,TRUE))</f>
        <v>M</v>
      </c>
    </row>
    <row r="157" spans="1:18" x14ac:dyDescent="0.2">
      <c r="A157" s="1" t="s">
        <v>58</v>
      </c>
      <c r="B157" s="1" t="s">
        <v>10</v>
      </c>
      <c r="C157" s="2">
        <v>41155</v>
      </c>
      <c r="D157" s="1">
        <v>10</v>
      </c>
      <c r="E157" s="1" t="s">
        <v>39</v>
      </c>
      <c r="I157" s="1" t="s">
        <v>12</v>
      </c>
      <c r="J157" s="1" t="s">
        <v>40</v>
      </c>
      <c r="K157" s="1" t="s">
        <v>14</v>
      </c>
      <c r="L157" s="1" t="s">
        <v>12</v>
      </c>
      <c r="M157" s="1" t="s">
        <v>12</v>
      </c>
      <c r="N157" s="1">
        <v>27.12</v>
      </c>
      <c r="O157" s="1" t="s">
        <v>32</v>
      </c>
      <c r="P157" s="1" t="s">
        <v>37</v>
      </c>
      <c r="Q157" s="1" t="s">
        <v>16</v>
      </c>
      <c r="R157" s="1" t="str">
        <f>IF(N157="","",VLOOKUP(N157,Prior_levels,2,TRUE))</f>
        <v>M</v>
      </c>
    </row>
    <row r="158" spans="1:18" x14ac:dyDescent="0.2">
      <c r="A158" s="1" t="s">
        <v>58</v>
      </c>
      <c r="B158" s="1" t="s">
        <v>10</v>
      </c>
      <c r="C158" s="2">
        <v>41155</v>
      </c>
      <c r="D158" s="1">
        <v>10</v>
      </c>
      <c r="E158" s="1" t="s">
        <v>39</v>
      </c>
      <c r="I158" s="1" t="s">
        <v>12</v>
      </c>
      <c r="J158" s="1" t="s">
        <v>40</v>
      </c>
      <c r="K158" s="1" t="s">
        <v>14</v>
      </c>
      <c r="L158" s="1" t="s">
        <v>12</v>
      </c>
      <c r="M158" s="1" t="s">
        <v>12</v>
      </c>
      <c r="N158" s="1">
        <v>27.12</v>
      </c>
      <c r="O158" s="1" t="s">
        <v>27</v>
      </c>
      <c r="P158" s="1" t="s">
        <v>37</v>
      </c>
      <c r="Q158" s="1" t="s">
        <v>16</v>
      </c>
      <c r="R158" s="1" t="str">
        <f>IF(N158="","",VLOOKUP(N158,Prior_levels,2,TRUE))</f>
        <v>M</v>
      </c>
    </row>
    <row r="159" spans="1:18" x14ac:dyDescent="0.2">
      <c r="A159" s="1" t="s">
        <v>58</v>
      </c>
      <c r="B159" s="1" t="s">
        <v>10</v>
      </c>
      <c r="C159" s="2">
        <v>41155</v>
      </c>
      <c r="D159" s="1">
        <v>10</v>
      </c>
      <c r="E159" s="1" t="s">
        <v>39</v>
      </c>
      <c r="I159" s="1" t="s">
        <v>12</v>
      </c>
      <c r="J159" s="1" t="s">
        <v>40</v>
      </c>
      <c r="K159" s="1" t="s">
        <v>14</v>
      </c>
      <c r="L159" s="1" t="s">
        <v>12</v>
      </c>
      <c r="M159" s="1" t="s">
        <v>12</v>
      </c>
      <c r="N159" s="1">
        <v>27.12</v>
      </c>
      <c r="O159" s="1" t="s">
        <v>29</v>
      </c>
      <c r="P159" s="1" t="s">
        <v>37</v>
      </c>
      <c r="Q159" s="1" t="s">
        <v>16</v>
      </c>
      <c r="R159" s="1" t="str">
        <f>IF(N159="","",VLOOKUP(N159,Prior_levels,2,TRUE))</f>
        <v>M</v>
      </c>
    </row>
    <row r="160" spans="1:18" x14ac:dyDescent="0.2">
      <c r="A160" s="1" t="s">
        <v>58</v>
      </c>
      <c r="B160" s="1" t="s">
        <v>10</v>
      </c>
      <c r="C160" s="2">
        <v>41155</v>
      </c>
      <c r="D160" s="1">
        <v>10</v>
      </c>
      <c r="E160" s="1" t="s">
        <v>39</v>
      </c>
      <c r="I160" s="1" t="s">
        <v>12</v>
      </c>
      <c r="J160" s="1" t="s">
        <v>40</v>
      </c>
      <c r="K160" s="1" t="s">
        <v>14</v>
      </c>
      <c r="L160" s="1" t="s">
        <v>12</v>
      </c>
      <c r="M160" s="1" t="s">
        <v>12</v>
      </c>
      <c r="N160" s="1">
        <v>27.12</v>
      </c>
      <c r="O160" s="1" t="s">
        <v>30</v>
      </c>
      <c r="P160" s="1" t="s">
        <v>37</v>
      </c>
      <c r="Q160" s="1" t="s">
        <v>16</v>
      </c>
      <c r="R160" s="1" t="str">
        <f>IF(N160="","",VLOOKUP(N160,Prior_levels,2,TRUE))</f>
        <v>M</v>
      </c>
    </row>
    <row r="161" spans="1:18" x14ac:dyDescent="0.2">
      <c r="A161" s="1" t="s">
        <v>58</v>
      </c>
      <c r="B161" s="1" t="s">
        <v>10</v>
      </c>
      <c r="C161" s="2">
        <v>41155</v>
      </c>
      <c r="D161" s="1">
        <v>10</v>
      </c>
      <c r="E161" s="1" t="s">
        <v>39</v>
      </c>
      <c r="I161" s="1" t="s">
        <v>12</v>
      </c>
      <c r="J161" s="1" t="s">
        <v>40</v>
      </c>
      <c r="K161" s="1" t="s">
        <v>14</v>
      </c>
      <c r="L161" s="1" t="s">
        <v>12</v>
      </c>
      <c r="M161" s="1" t="s">
        <v>12</v>
      </c>
      <c r="N161" s="1">
        <v>27.12</v>
      </c>
      <c r="O161" s="1" t="s">
        <v>31</v>
      </c>
      <c r="P161" s="1" t="s">
        <v>28</v>
      </c>
      <c r="Q161" s="1" t="s">
        <v>16</v>
      </c>
      <c r="R161" s="1" t="str">
        <f>IF(N161="","",VLOOKUP(N161,Prior_levels,2,TRUE))</f>
        <v>M</v>
      </c>
    </row>
    <row r="162" spans="1:18" x14ac:dyDescent="0.2">
      <c r="A162" s="1" t="s">
        <v>59</v>
      </c>
      <c r="B162" s="1" t="s">
        <v>10</v>
      </c>
      <c r="C162" s="2">
        <v>41155</v>
      </c>
      <c r="D162" s="1">
        <v>10</v>
      </c>
      <c r="E162" s="1" t="s">
        <v>11</v>
      </c>
      <c r="I162" s="1" t="s">
        <v>12</v>
      </c>
      <c r="J162" s="1" t="s">
        <v>13</v>
      </c>
      <c r="K162" s="1" t="s">
        <v>14</v>
      </c>
      <c r="L162" s="1" t="s">
        <v>12</v>
      </c>
      <c r="M162" s="1" t="s">
        <v>12</v>
      </c>
      <c r="N162" s="1">
        <v>15.06</v>
      </c>
      <c r="O162" s="1" t="s">
        <v>15</v>
      </c>
      <c r="P162" s="1">
        <v>2.1</v>
      </c>
      <c r="Q162" s="1" t="s">
        <v>16</v>
      </c>
      <c r="R162" s="1" t="str">
        <f>IF(N162="","",VLOOKUP(N162,Prior_levels,2,TRUE))</f>
        <v>L</v>
      </c>
    </row>
    <row r="163" spans="1:18" x14ac:dyDescent="0.2">
      <c r="A163" s="1" t="s">
        <v>59</v>
      </c>
      <c r="B163" s="1" t="s">
        <v>10</v>
      </c>
      <c r="C163" s="2">
        <v>41155</v>
      </c>
      <c r="D163" s="1">
        <v>10</v>
      </c>
      <c r="E163" s="1" t="s">
        <v>11</v>
      </c>
      <c r="I163" s="1" t="s">
        <v>12</v>
      </c>
      <c r="J163" s="1" t="s">
        <v>13</v>
      </c>
      <c r="K163" s="1" t="s">
        <v>14</v>
      </c>
      <c r="L163" s="1" t="s">
        <v>12</v>
      </c>
      <c r="M163" s="1" t="s">
        <v>12</v>
      </c>
      <c r="N163" s="1">
        <v>15.06</v>
      </c>
      <c r="O163" s="1" t="s">
        <v>17</v>
      </c>
      <c r="P163" s="1">
        <v>0.19</v>
      </c>
      <c r="Q163" s="1" t="s">
        <v>16</v>
      </c>
      <c r="R163" s="1" t="str">
        <f>IF(N163="","",VLOOKUP(N163,Prior_levels,2,TRUE))</f>
        <v>L</v>
      </c>
    </row>
    <row r="164" spans="1:18" x14ac:dyDescent="0.2">
      <c r="A164" s="1" t="s">
        <v>59</v>
      </c>
      <c r="B164" s="1" t="s">
        <v>10</v>
      </c>
      <c r="C164" s="2">
        <v>41155</v>
      </c>
      <c r="D164" s="1">
        <v>10</v>
      </c>
      <c r="E164" s="1" t="s">
        <v>11</v>
      </c>
      <c r="I164" s="1" t="s">
        <v>12</v>
      </c>
      <c r="J164" s="1" t="s">
        <v>13</v>
      </c>
      <c r="K164" s="1" t="s">
        <v>14</v>
      </c>
      <c r="L164" s="1" t="s">
        <v>12</v>
      </c>
      <c r="M164" s="1" t="s">
        <v>12</v>
      </c>
      <c r="N164" s="1">
        <v>15.06</v>
      </c>
      <c r="O164" s="1" t="s">
        <v>18</v>
      </c>
      <c r="P164" s="1">
        <v>4</v>
      </c>
      <c r="Q164" s="1" t="s">
        <v>16</v>
      </c>
      <c r="R164" s="1" t="str">
        <f>IF(N164="","",VLOOKUP(N164,Prior_levels,2,TRUE))</f>
        <v>L</v>
      </c>
    </row>
    <row r="165" spans="1:18" x14ac:dyDescent="0.2">
      <c r="A165" s="1" t="s">
        <v>59</v>
      </c>
      <c r="B165" s="1" t="s">
        <v>10</v>
      </c>
      <c r="C165" s="2">
        <v>41155</v>
      </c>
      <c r="D165" s="1">
        <v>10</v>
      </c>
      <c r="E165" s="1" t="s">
        <v>11</v>
      </c>
      <c r="I165" s="1" t="s">
        <v>12</v>
      </c>
      <c r="J165" s="1" t="s">
        <v>13</v>
      </c>
      <c r="K165" s="1" t="s">
        <v>14</v>
      </c>
      <c r="L165" s="1" t="s">
        <v>12</v>
      </c>
      <c r="M165" s="1" t="s">
        <v>12</v>
      </c>
      <c r="N165" s="1">
        <v>15.06</v>
      </c>
      <c r="O165" s="1" t="s">
        <v>19</v>
      </c>
      <c r="P165" s="1">
        <v>6</v>
      </c>
      <c r="Q165" s="1" t="s">
        <v>16</v>
      </c>
      <c r="R165" s="1" t="str">
        <f>IF(N165="","",VLOOKUP(N165,Prior_levels,2,TRUE))</f>
        <v>L</v>
      </c>
    </row>
    <row r="166" spans="1:18" x14ac:dyDescent="0.2">
      <c r="A166" s="1" t="s">
        <v>59</v>
      </c>
      <c r="B166" s="1" t="s">
        <v>10</v>
      </c>
      <c r="C166" s="2">
        <v>41155</v>
      </c>
      <c r="D166" s="1">
        <v>10</v>
      </c>
      <c r="E166" s="1" t="s">
        <v>11</v>
      </c>
      <c r="I166" s="1" t="s">
        <v>12</v>
      </c>
      <c r="J166" s="1" t="s">
        <v>13</v>
      </c>
      <c r="K166" s="1" t="s">
        <v>14</v>
      </c>
      <c r="L166" s="1" t="s">
        <v>12</v>
      </c>
      <c r="M166" s="1" t="s">
        <v>12</v>
      </c>
      <c r="N166" s="1">
        <v>15.06</v>
      </c>
      <c r="O166" s="1" t="s">
        <v>20</v>
      </c>
      <c r="P166" s="1">
        <v>5.5</v>
      </c>
      <c r="Q166" s="1" t="s">
        <v>16</v>
      </c>
      <c r="R166" s="1" t="str">
        <f>IF(N166="","",VLOOKUP(N166,Prior_levels,2,TRUE))</f>
        <v>L</v>
      </c>
    </row>
    <row r="167" spans="1:18" x14ac:dyDescent="0.2">
      <c r="A167" s="1" t="s">
        <v>59</v>
      </c>
      <c r="B167" s="1" t="s">
        <v>10</v>
      </c>
      <c r="C167" s="2">
        <v>41155</v>
      </c>
      <c r="D167" s="1">
        <v>10</v>
      </c>
      <c r="E167" s="1" t="s">
        <v>11</v>
      </c>
      <c r="I167" s="1" t="s">
        <v>12</v>
      </c>
      <c r="J167" s="1" t="s">
        <v>13</v>
      </c>
      <c r="K167" s="1" t="s">
        <v>14</v>
      </c>
      <c r="L167" s="1" t="s">
        <v>12</v>
      </c>
      <c r="M167" s="1" t="s">
        <v>12</v>
      </c>
      <c r="N167" s="1">
        <v>15.06</v>
      </c>
      <c r="O167" s="1" t="s">
        <v>21</v>
      </c>
      <c r="P167" s="1">
        <v>5.5</v>
      </c>
      <c r="Q167" s="1" t="s">
        <v>16</v>
      </c>
      <c r="R167" s="1" t="str">
        <f>IF(N167="","",VLOOKUP(N167,Prior_levels,2,TRUE))</f>
        <v>L</v>
      </c>
    </row>
    <row r="168" spans="1:18" x14ac:dyDescent="0.2">
      <c r="A168" s="1" t="s">
        <v>59</v>
      </c>
      <c r="B168" s="1" t="s">
        <v>10</v>
      </c>
      <c r="C168" s="2">
        <v>41155</v>
      </c>
      <c r="D168" s="1">
        <v>10</v>
      </c>
      <c r="E168" s="1" t="s">
        <v>11</v>
      </c>
      <c r="I168" s="1" t="s">
        <v>12</v>
      </c>
      <c r="J168" s="1" t="s">
        <v>13</v>
      </c>
      <c r="K168" s="1" t="s">
        <v>14</v>
      </c>
      <c r="L168" s="1" t="s">
        <v>12</v>
      </c>
      <c r="M168" s="1" t="s">
        <v>12</v>
      </c>
      <c r="N168" s="1">
        <v>15.06</v>
      </c>
      <c r="O168" s="1" t="s">
        <v>22</v>
      </c>
      <c r="P168" s="1">
        <v>-0.66</v>
      </c>
      <c r="Q168" s="1" t="s">
        <v>16</v>
      </c>
      <c r="R168" s="1" t="str">
        <f>IF(N168="","",VLOOKUP(N168,Prior_levels,2,TRUE))</f>
        <v>L</v>
      </c>
    </row>
    <row r="169" spans="1:18" x14ac:dyDescent="0.2">
      <c r="A169" s="1" t="s">
        <v>59</v>
      </c>
      <c r="B169" s="1" t="s">
        <v>10</v>
      </c>
      <c r="C169" s="2">
        <v>41155</v>
      </c>
      <c r="D169" s="1">
        <v>10</v>
      </c>
      <c r="E169" s="1" t="s">
        <v>11</v>
      </c>
      <c r="I169" s="1" t="s">
        <v>12</v>
      </c>
      <c r="J169" s="1" t="s">
        <v>13</v>
      </c>
      <c r="K169" s="1" t="s">
        <v>14</v>
      </c>
      <c r="L169" s="1" t="s">
        <v>12</v>
      </c>
      <c r="M169" s="1" t="s">
        <v>12</v>
      </c>
      <c r="N169" s="1">
        <v>15.06</v>
      </c>
      <c r="O169" s="1" t="s">
        <v>23</v>
      </c>
      <c r="P169" s="1">
        <v>1.68</v>
      </c>
      <c r="Q169" s="1" t="s">
        <v>16</v>
      </c>
      <c r="R169" s="1" t="str">
        <f>IF(N169="","",VLOOKUP(N169,Prior_levels,2,TRUE))</f>
        <v>L</v>
      </c>
    </row>
    <row r="170" spans="1:18" x14ac:dyDescent="0.2">
      <c r="A170" s="1" t="s">
        <v>59</v>
      </c>
      <c r="B170" s="1" t="s">
        <v>10</v>
      </c>
      <c r="C170" s="2">
        <v>41155</v>
      </c>
      <c r="D170" s="1">
        <v>10</v>
      </c>
      <c r="E170" s="1" t="s">
        <v>11</v>
      </c>
      <c r="I170" s="1" t="s">
        <v>12</v>
      </c>
      <c r="J170" s="1" t="s">
        <v>13</v>
      </c>
      <c r="K170" s="1" t="s">
        <v>14</v>
      </c>
      <c r="L170" s="1" t="s">
        <v>12</v>
      </c>
      <c r="M170" s="1" t="s">
        <v>12</v>
      </c>
      <c r="N170" s="1">
        <v>15.06</v>
      </c>
      <c r="O170" s="1" t="s">
        <v>25</v>
      </c>
      <c r="P170" s="1">
        <v>-3.13</v>
      </c>
      <c r="Q170" s="1" t="s">
        <v>16</v>
      </c>
      <c r="R170" s="1" t="str">
        <f>IF(N170="","",VLOOKUP(N170,Prior_levels,2,TRUE))</f>
        <v>L</v>
      </c>
    </row>
    <row r="171" spans="1:18" x14ac:dyDescent="0.2">
      <c r="A171" s="1" t="s">
        <v>59</v>
      </c>
      <c r="B171" s="1" t="s">
        <v>10</v>
      </c>
      <c r="C171" s="2">
        <v>41155</v>
      </c>
      <c r="D171" s="1">
        <v>10</v>
      </c>
      <c r="E171" s="1" t="s">
        <v>11</v>
      </c>
      <c r="I171" s="1" t="s">
        <v>12</v>
      </c>
      <c r="J171" s="1" t="s">
        <v>13</v>
      </c>
      <c r="K171" s="1" t="s">
        <v>14</v>
      </c>
      <c r="L171" s="1" t="s">
        <v>12</v>
      </c>
      <c r="M171" s="1" t="s">
        <v>12</v>
      </c>
      <c r="N171" s="1">
        <v>15.06</v>
      </c>
      <c r="O171" s="1" t="s">
        <v>26</v>
      </c>
      <c r="P171" s="1">
        <v>0</v>
      </c>
      <c r="Q171" s="1" t="s">
        <v>16</v>
      </c>
      <c r="R171" s="1" t="str">
        <f>IF(N171="","",VLOOKUP(N171,Prior_levels,2,TRUE))</f>
        <v>L</v>
      </c>
    </row>
    <row r="172" spans="1:18" x14ac:dyDescent="0.2">
      <c r="A172" s="1" t="s">
        <v>59</v>
      </c>
      <c r="B172" s="1" t="s">
        <v>10</v>
      </c>
      <c r="C172" s="2">
        <v>41155</v>
      </c>
      <c r="D172" s="1">
        <v>10</v>
      </c>
      <c r="E172" s="1" t="s">
        <v>11</v>
      </c>
      <c r="I172" s="1" t="s">
        <v>12</v>
      </c>
      <c r="J172" s="1" t="s">
        <v>13</v>
      </c>
      <c r="K172" s="1" t="s">
        <v>14</v>
      </c>
      <c r="L172" s="1" t="s">
        <v>12</v>
      </c>
      <c r="M172" s="1" t="s">
        <v>12</v>
      </c>
      <c r="N172" s="1">
        <v>15.06</v>
      </c>
      <c r="O172" s="1" t="s">
        <v>24</v>
      </c>
      <c r="P172" s="1">
        <v>2.94</v>
      </c>
      <c r="Q172" s="1" t="s">
        <v>16</v>
      </c>
      <c r="R172" s="1" t="str">
        <f>IF(N172="","",VLOOKUP(N172,Prior_levels,2,TRUE))</f>
        <v>L</v>
      </c>
    </row>
    <row r="173" spans="1:18" x14ac:dyDescent="0.2">
      <c r="A173" s="1" t="s">
        <v>59</v>
      </c>
      <c r="B173" s="1" t="s">
        <v>10</v>
      </c>
      <c r="C173" s="2">
        <v>41155</v>
      </c>
      <c r="D173" s="1">
        <v>10</v>
      </c>
      <c r="E173" s="1" t="s">
        <v>11</v>
      </c>
      <c r="I173" s="1" t="s">
        <v>12</v>
      </c>
      <c r="J173" s="1" t="s">
        <v>13</v>
      </c>
      <c r="K173" s="1" t="s">
        <v>14</v>
      </c>
      <c r="L173" s="1" t="s">
        <v>12</v>
      </c>
      <c r="M173" s="1" t="s">
        <v>12</v>
      </c>
      <c r="N173" s="1">
        <v>15.06</v>
      </c>
      <c r="O173" s="1" t="s">
        <v>27</v>
      </c>
      <c r="P173" s="1" t="s">
        <v>28</v>
      </c>
      <c r="Q173" s="1" t="s">
        <v>16</v>
      </c>
      <c r="R173" s="1" t="str">
        <f>IF(N173="","",VLOOKUP(N173,Prior_levels,2,TRUE))</f>
        <v>L</v>
      </c>
    </row>
    <row r="174" spans="1:18" x14ac:dyDescent="0.2">
      <c r="A174" s="1" t="s">
        <v>59</v>
      </c>
      <c r="B174" s="1" t="s">
        <v>10</v>
      </c>
      <c r="C174" s="2">
        <v>41155</v>
      </c>
      <c r="D174" s="1">
        <v>10</v>
      </c>
      <c r="E174" s="1" t="s">
        <v>11</v>
      </c>
      <c r="I174" s="1" t="s">
        <v>12</v>
      </c>
      <c r="J174" s="1" t="s">
        <v>13</v>
      </c>
      <c r="K174" s="1" t="s">
        <v>14</v>
      </c>
      <c r="L174" s="1" t="s">
        <v>12</v>
      </c>
      <c r="M174" s="1" t="s">
        <v>12</v>
      </c>
      <c r="N174" s="1">
        <v>15.06</v>
      </c>
      <c r="O174" s="1" t="s">
        <v>29</v>
      </c>
      <c r="P174" s="1" t="s">
        <v>28</v>
      </c>
      <c r="Q174" s="1" t="s">
        <v>16</v>
      </c>
      <c r="R174" s="1" t="str">
        <f>IF(N174="","",VLOOKUP(N174,Prior_levels,2,TRUE))</f>
        <v>L</v>
      </c>
    </row>
    <row r="175" spans="1:18" x14ac:dyDescent="0.2">
      <c r="A175" s="1" t="s">
        <v>59</v>
      </c>
      <c r="B175" s="1" t="s">
        <v>10</v>
      </c>
      <c r="C175" s="2">
        <v>41155</v>
      </c>
      <c r="D175" s="1">
        <v>10</v>
      </c>
      <c r="E175" s="1" t="s">
        <v>11</v>
      </c>
      <c r="I175" s="1" t="s">
        <v>12</v>
      </c>
      <c r="J175" s="1" t="s">
        <v>13</v>
      </c>
      <c r="K175" s="1" t="s">
        <v>14</v>
      </c>
      <c r="L175" s="1" t="s">
        <v>12</v>
      </c>
      <c r="M175" s="1" t="s">
        <v>12</v>
      </c>
      <c r="N175" s="1">
        <v>15.06</v>
      </c>
      <c r="O175" s="1" t="s">
        <v>30</v>
      </c>
      <c r="P175" s="1" t="s">
        <v>28</v>
      </c>
      <c r="Q175" s="1" t="s">
        <v>16</v>
      </c>
      <c r="R175" s="1" t="str">
        <f>IF(N175="","",VLOOKUP(N175,Prior_levels,2,TRUE))</f>
        <v>L</v>
      </c>
    </row>
    <row r="176" spans="1:18" x14ac:dyDescent="0.2">
      <c r="A176" s="1" t="s">
        <v>59</v>
      </c>
      <c r="B176" s="1" t="s">
        <v>10</v>
      </c>
      <c r="C176" s="2">
        <v>41155</v>
      </c>
      <c r="D176" s="1">
        <v>10</v>
      </c>
      <c r="E176" s="1" t="s">
        <v>11</v>
      </c>
      <c r="I176" s="1" t="s">
        <v>12</v>
      </c>
      <c r="J176" s="1" t="s">
        <v>13</v>
      </c>
      <c r="K176" s="1" t="s">
        <v>14</v>
      </c>
      <c r="L176" s="1" t="s">
        <v>12</v>
      </c>
      <c r="M176" s="1" t="s">
        <v>12</v>
      </c>
      <c r="N176" s="1">
        <v>15.06</v>
      </c>
      <c r="O176" s="1" t="s">
        <v>31</v>
      </c>
      <c r="P176" s="1" t="s">
        <v>28</v>
      </c>
      <c r="Q176" s="1" t="s">
        <v>16</v>
      </c>
      <c r="R176" s="1" t="str">
        <f>IF(N176="","",VLOOKUP(N176,Prior_levels,2,TRUE))</f>
        <v>L</v>
      </c>
    </row>
    <row r="177" spans="1:18" x14ac:dyDescent="0.2">
      <c r="A177" s="1" t="s">
        <v>59</v>
      </c>
      <c r="B177" s="1" t="s">
        <v>10</v>
      </c>
      <c r="C177" s="2">
        <v>41155</v>
      </c>
      <c r="D177" s="1">
        <v>10</v>
      </c>
      <c r="E177" s="1" t="s">
        <v>11</v>
      </c>
      <c r="I177" s="1" t="s">
        <v>12</v>
      </c>
      <c r="J177" s="1" t="s">
        <v>13</v>
      </c>
      <c r="K177" s="1" t="s">
        <v>14</v>
      </c>
      <c r="L177" s="1" t="s">
        <v>12</v>
      </c>
      <c r="M177" s="1" t="s">
        <v>12</v>
      </c>
      <c r="N177" s="1">
        <v>15.06</v>
      </c>
      <c r="O177" s="1" t="s">
        <v>32</v>
      </c>
      <c r="P177" s="1" t="s">
        <v>28</v>
      </c>
      <c r="Q177" s="1" t="s">
        <v>16</v>
      </c>
      <c r="R177" s="1" t="str">
        <f>IF(N177="","",VLOOKUP(N177,Prior_levels,2,TRUE))</f>
        <v>L</v>
      </c>
    </row>
    <row r="178" spans="1:18" x14ac:dyDescent="0.2">
      <c r="A178" s="1" t="s">
        <v>60</v>
      </c>
      <c r="B178" s="1" t="s">
        <v>10</v>
      </c>
      <c r="C178" s="2">
        <v>41155</v>
      </c>
      <c r="D178" s="1">
        <v>10</v>
      </c>
      <c r="E178" s="1" t="s">
        <v>52</v>
      </c>
      <c r="I178" s="1" t="s">
        <v>12</v>
      </c>
      <c r="J178" s="1" t="s">
        <v>40</v>
      </c>
      <c r="K178" s="1" t="s">
        <v>14</v>
      </c>
      <c r="L178" s="1" t="s">
        <v>12</v>
      </c>
      <c r="M178" s="1" t="s">
        <v>12</v>
      </c>
      <c r="N178" s="1">
        <v>33.18</v>
      </c>
      <c r="O178" s="1" t="s">
        <v>15</v>
      </c>
      <c r="P178" s="1">
        <v>4.6500000000000004</v>
      </c>
      <c r="Q178" s="1" t="s">
        <v>16</v>
      </c>
      <c r="R178" s="1" t="str">
        <f>IF(N178="","",VLOOKUP(N178,Prior_levels,2,TRUE))</f>
        <v>H</v>
      </c>
    </row>
    <row r="179" spans="1:18" x14ac:dyDescent="0.2">
      <c r="A179" s="1" t="s">
        <v>60</v>
      </c>
      <c r="B179" s="1" t="s">
        <v>10</v>
      </c>
      <c r="C179" s="2">
        <v>41155</v>
      </c>
      <c r="D179" s="1">
        <v>10</v>
      </c>
      <c r="E179" s="1" t="s">
        <v>52</v>
      </c>
      <c r="I179" s="1" t="s">
        <v>12</v>
      </c>
      <c r="J179" s="1" t="s">
        <v>40</v>
      </c>
      <c r="K179" s="1" t="s">
        <v>14</v>
      </c>
      <c r="L179" s="1" t="s">
        <v>12</v>
      </c>
      <c r="M179" s="1" t="s">
        <v>12</v>
      </c>
      <c r="N179" s="1">
        <v>33.18</v>
      </c>
      <c r="O179" s="1" t="s">
        <v>17</v>
      </c>
      <c r="P179" s="1">
        <v>-1.9</v>
      </c>
      <c r="Q179" s="1" t="s">
        <v>16</v>
      </c>
      <c r="R179" s="1" t="str">
        <f>IF(N179="","",VLOOKUP(N179,Prior_levels,2,TRUE))</f>
        <v>H</v>
      </c>
    </row>
    <row r="180" spans="1:18" x14ac:dyDescent="0.2">
      <c r="A180" s="1" t="s">
        <v>60</v>
      </c>
      <c r="B180" s="1" t="s">
        <v>10</v>
      </c>
      <c r="C180" s="2">
        <v>41155</v>
      </c>
      <c r="D180" s="1">
        <v>10</v>
      </c>
      <c r="E180" s="1" t="s">
        <v>52</v>
      </c>
      <c r="I180" s="1" t="s">
        <v>12</v>
      </c>
      <c r="J180" s="1" t="s">
        <v>40</v>
      </c>
      <c r="K180" s="1" t="s">
        <v>14</v>
      </c>
      <c r="L180" s="1" t="s">
        <v>12</v>
      </c>
      <c r="M180" s="1" t="s">
        <v>12</v>
      </c>
      <c r="N180" s="1">
        <v>33.18</v>
      </c>
      <c r="O180" s="1" t="s">
        <v>18</v>
      </c>
      <c r="P180" s="1">
        <v>10</v>
      </c>
      <c r="Q180" s="1" t="s">
        <v>16</v>
      </c>
      <c r="R180" s="1" t="str">
        <f>IF(N180="","",VLOOKUP(N180,Prior_levels,2,TRUE))</f>
        <v>H</v>
      </c>
    </row>
    <row r="181" spans="1:18" x14ac:dyDescent="0.2">
      <c r="A181" s="1" t="s">
        <v>60</v>
      </c>
      <c r="B181" s="1" t="s">
        <v>10</v>
      </c>
      <c r="C181" s="2">
        <v>41155</v>
      </c>
      <c r="D181" s="1">
        <v>10</v>
      </c>
      <c r="E181" s="1" t="s">
        <v>52</v>
      </c>
      <c r="I181" s="1" t="s">
        <v>12</v>
      </c>
      <c r="J181" s="1" t="s">
        <v>40</v>
      </c>
      <c r="K181" s="1" t="s">
        <v>14</v>
      </c>
      <c r="L181" s="1" t="s">
        <v>12</v>
      </c>
      <c r="M181" s="1" t="s">
        <v>12</v>
      </c>
      <c r="N181" s="1">
        <v>33.18</v>
      </c>
      <c r="O181" s="1" t="s">
        <v>19</v>
      </c>
      <c r="P181" s="1">
        <v>10</v>
      </c>
      <c r="Q181" s="1" t="s">
        <v>16</v>
      </c>
      <c r="R181" s="1" t="str">
        <f>IF(N181="","",VLOOKUP(N181,Prior_levels,2,TRUE))</f>
        <v>H</v>
      </c>
    </row>
    <row r="182" spans="1:18" x14ac:dyDescent="0.2">
      <c r="A182" s="1" t="s">
        <v>60</v>
      </c>
      <c r="B182" s="1" t="s">
        <v>10</v>
      </c>
      <c r="C182" s="2">
        <v>41155</v>
      </c>
      <c r="D182" s="1">
        <v>10</v>
      </c>
      <c r="E182" s="1" t="s">
        <v>52</v>
      </c>
      <c r="I182" s="1" t="s">
        <v>12</v>
      </c>
      <c r="J182" s="1" t="s">
        <v>40</v>
      </c>
      <c r="K182" s="1" t="s">
        <v>14</v>
      </c>
      <c r="L182" s="1" t="s">
        <v>12</v>
      </c>
      <c r="M182" s="1" t="s">
        <v>12</v>
      </c>
      <c r="N182" s="1">
        <v>33.18</v>
      </c>
      <c r="O182" s="1" t="s">
        <v>20</v>
      </c>
      <c r="P182" s="1">
        <v>13.5</v>
      </c>
      <c r="Q182" s="1" t="s">
        <v>16</v>
      </c>
      <c r="R182" s="1" t="str">
        <f>IF(N182="","",VLOOKUP(N182,Prior_levels,2,TRUE))</f>
        <v>H</v>
      </c>
    </row>
    <row r="183" spans="1:18" x14ac:dyDescent="0.2">
      <c r="A183" s="1" t="s">
        <v>60</v>
      </c>
      <c r="B183" s="1" t="s">
        <v>10</v>
      </c>
      <c r="C183" s="2">
        <v>41155</v>
      </c>
      <c r="D183" s="1">
        <v>10</v>
      </c>
      <c r="E183" s="1" t="s">
        <v>52</v>
      </c>
      <c r="I183" s="1" t="s">
        <v>12</v>
      </c>
      <c r="J183" s="1" t="s">
        <v>40</v>
      </c>
      <c r="K183" s="1" t="s">
        <v>14</v>
      </c>
      <c r="L183" s="1" t="s">
        <v>12</v>
      </c>
      <c r="M183" s="1" t="s">
        <v>12</v>
      </c>
      <c r="N183" s="1">
        <v>33.18</v>
      </c>
      <c r="O183" s="1" t="s">
        <v>21</v>
      </c>
      <c r="P183" s="1">
        <v>13</v>
      </c>
      <c r="Q183" s="1" t="s">
        <v>16</v>
      </c>
      <c r="R183" s="1" t="str">
        <f>IF(N183="","",VLOOKUP(N183,Prior_levels,2,TRUE))</f>
        <v>H</v>
      </c>
    </row>
    <row r="184" spans="1:18" x14ac:dyDescent="0.2">
      <c r="A184" s="1" t="s">
        <v>60</v>
      </c>
      <c r="B184" s="1" t="s">
        <v>10</v>
      </c>
      <c r="C184" s="2">
        <v>41155</v>
      </c>
      <c r="D184" s="1">
        <v>10</v>
      </c>
      <c r="E184" s="1" t="s">
        <v>52</v>
      </c>
      <c r="I184" s="1" t="s">
        <v>12</v>
      </c>
      <c r="J184" s="1" t="s">
        <v>40</v>
      </c>
      <c r="K184" s="1" t="s">
        <v>14</v>
      </c>
      <c r="L184" s="1" t="s">
        <v>12</v>
      </c>
      <c r="M184" s="1" t="s">
        <v>12</v>
      </c>
      <c r="N184" s="1">
        <v>33.18</v>
      </c>
      <c r="O184" s="1" t="s">
        <v>22</v>
      </c>
      <c r="P184" s="1">
        <v>-1.64</v>
      </c>
      <c r="Q184" s="1" t="s">
        <v>16</v>
      </c>
      <c r="R184" s="1" t="str">
        <f>IF(N184="","",VLOOKUP(N184,Prior_levels,2,TRUE))</f>
        <v>H</v>
      </c>
    </row>
    <row r="185" spans="1:18" x14ac:dyDescent="0.2">
      <c r="A185" s="1" t="s">
        <v>60</v>
      </c>
      <c r="B185" s="1" t="s">
        <v>10</v>
      </c>
      <c r="C185" s="2">
        <v>41155</v>
      </c>
      <c r="D185" s="1">
        <v>10</v>
      </c>
      <c r="E185" s="1" t="s">
        <v>52</v>
      </c>
      <c r="I185" s="1" t="s">
        <v>12</v>
      </c>
      <c r="J185" s="1" t="s">
        <v>40</v>
      </c>
      <c r="K185" s="1" t="s">
        <v>14</v>
      </c>
      <c r="L185" s="1" t="s">
        <v>12</v>
      </c>
      <c r="M185" s="1" t="s">
        <v>12</v>
      </c>
      <c r="N185" s="1">
        <v>33.18</v>
      </c>
      <c r="O185" s="1" t="s">
        <v>23</v>
      </c>
      <c r="P185" s="1">
        <v>-1.66</v>
      </c>
      <c r="Q185" s="1" t="s">
        <v>16</v>
      </c>
      <c r="R185" s="1" t="str">
        <f>IF(N185="","",VLOOKUP(N185,Prior_levels,2,TRUE))</f>
        <v>H</v>
      </c>
    </row>
    <row r="186" spans="1:18" x14ac:dyDescent="0.2">
      <c r="A186" s="1" t="s">
        <v>60</v>
      </c>
      <c r="B186" s="1" t="s">
        <v>10</v>
      </c>
      <c r="C186" s="2">
        <v>41155</v>
      </c>
      <c r="D186" s="1">
        <v>10</v>
      </c>
      <c r="E186" s="1" t="s">
        <v>52</v>
      </c>
      <c r="I186" s="1" t="s">
        <v>12</v>
      </c>
      <c r="J186" s="1" t="s">
        <v>40</v>
      </c>
      <c r="K186" s="1" t="s">
        <v>14</v>
      </c>
      <c r="L186" s="1" t="s">
        <v>12</v>
      </c>
      <c r="M186" s="1" t="s">
        <v>12</v>
      </c>
      <c r="N186" s="1">
        <v>33.18</v>
      </c>
      <c r="O186" s="1" t="s">
        <v>24</v>
      </c>
      <c r="P186" s="1">
        <v>-5.77</v>
      </c>
      <c r="Q186" s="1" t="s">
        <v>16</v>
      </c>
      <c r="R186" s="1" t="str">
        <f>IF(N186="","",VLOOKUP(N186,Prior_levels,2,TRUE))</f>
        <v>H</v>
      </c>
    </row>
    <row r="187" spans="1:18" x14ac:dyDescent="0.2">
      <c r="A187" s="1" t="s">
        <v>60</v>
      </c>
      <c r="B187" s="1" t="s">
        <v>10</v>
      </c>
      <c r="C187" s="2">
        <v>41155</v>
      </c>
      <c r="D187" s="1">
        <v>10</v>
      </c>
      <c r="E187" s="1" t="s">
        <v>52</v>
      </c>
      <c r="I187" s="1" t="s">
        <v>12</v>
      </c>
      <c r="J187" s="1" t="s">
        <v>40</v>
      </c>
      <c r="K187" s="1" t="s">
        <v>14</v>
      </c>
      <c r="L187" s="1" t="s">
        <v>12</v>
      </c>
      <c r="M187" s="1" t="s">
        <v>12</v>
      </c>
      <c r="N187" s="1">
        <v>33.18</v>
      </c>
      <c r="O187" s="1" t="s">
        <v>25</v>
      </c>
      <c r="P187" s="1">
        <v>-6.62</v>
      </c>
      <c r="Q187" s="1" t="s">
        <v>16</v>
      </c>
      <c r="R187" s="1" t="str">
        <f>IF(N187="","",VLOOKUP(N187,Prior_levels,2,TRUE))</f>
        <v>H</v>
      </c>
    </row>
    <row r="188" spans="1:18" x14ac:dyDescent="0.2">
      <c r="A188" s="1" t="s">
        <v>60</v>
      </c>
      <c r="B188" s="1" t="s">
        <v>10</v>
      </c>
      <c r="C188" s="2">
        <v>41155</v>
      </c>
      <c r="D188" s="1">
        <v>10</v>
      </c>
      <c r="E188" s="1" t="s">
        <v>52</v>
      </c>
      <c r="I188" s="1" t="s">
        <v>12</v>
      </c>
      <c r="J188" s="1" t="s">
        <v>40</v>
      </c>
      <c r="K188" s="1" t="s">
        <v>14</v>
      </c>
      <c r="L188" s="1" t="s">
        <v>12</v>
      </c>
      <c r="M188" s="1" t="s">
        <v>12</v>
      </c>
      <c r="N188" s="1">
        <v>33.18</v>
      </c>
      <c r="O188" s="1" t="s">
        <v>26</v>
      </c>
      <c r="P188" s="1">
        <v>11</v>
      </c>
      <c r="Q188" s="1" t="s">
        <v>16</v>
      </c>
      <c r="R188" s="1" t="str">
        <f>IF(N188="","",VLOOKUP(N188,Prior_levels,2,TRUE))</f>
        <v>H</v>
      </c>
    </row>
    <row r="189" spans="1:18" x14ac:dyDescent="0.2">
      <c r="A189" s="1" t="s">
        <v>60</v>
      </c>
      <c r="B189" s="1" t="s">
        <v>10</v>
      </c>
      <c r="C189" s="2">
        <v>41155</v>
      </c>
      <c r="D189" s="1">
        <v>10</v>
      </c>
      <c r="E189" s="1" t="s">
        <v>52</v>
      </c>
      <c r="I189" s="1" t="s">
        <v>12</v>
      </c>
      <c r="J189" s="1" t="s">
        <v>40</v>
      </c>
      <c r="K189" s="1" t="s">
        <v>14</v>
      </c>
      <c r="L189" s="1" t="s">
        <v>12</v>
      </c>
      <c r="M189" s="1" t="s">
        <v>12</v>
      </c>
      <c r="N189" s="1">
        <v>33.18</v>
      </c>
      <c r="O189" s="1" t="s">
        <v>27</v>
      </c>
      <c r="P189" s="1" t="s">
        <v>37</v>
      </c>
      <c r="Q189" s="1" t="s">
        <v>16</v>
      </c>
      <c r="R189" s="1" t="str">
        <f>IF(N189="","",VLOOKUP(N189,Prior_levels,2,TRUE))</f>
        <v>H</v>
      </c>
    </row>
    <row r="190" spans="1:18" x14ac:dyDescent="0.2">
      <c r="A190" s="1" t="s">
        <v>60</v>
      </c>
      <c r="B190" s="1" t="s">
        <v>10</v>
      </c>
      <c r="C190" s="2">
        <v>41155</v>
      </c>
      <c r="D190" s="1">
        <v>10</v>
      </c>
      <c r="E190" s="1" t="s">
        <v>52</v>
      </c>
      <c r="I190" s="1" t="s">
        <v>12</v>
      </c>
      <c r="J190" s="1" t="s">
        <v>40</v>
      </c>
      <c r="K190" s="1" t="s">
        <v>14</v>
      </c>
      <c r="L190" s="1" t="s">
        <v>12</v>
      </c>
      <c r="M190" s="1" t="s">
        <v>12</v>
      </c>
      <c r="N190" s="1">
        <v>33.18</v>
      </c>
      <c r="O190" s="1" t="s">
        <v>29</v>
      </c>
      <c r="P190" s="1" t="s">
        <v>37</v>
      </c>
      <c r="Q190" s="1" t="s">
        <v>16</v>
      </c>
      <c r="R190" s="1" t="str">
        <f>IF(N190="","",VLOOKUP(N190,Prior_levels,2,TRUE))</f>
        <v>H</v>
      </c>
    </row>
    <row r="191" spans="1:18" x14ac:dyDescent="0.2">
      <c r="A191" s="1" t="s">
        <v>60</v>
      </c>
      <c r="B191" s="1" t="s">
        <v>10</v>
      </c>
      <c r="C191" s="2">
        <v>41155</v>
      </c>
      <c r="D191" s="1">
        <v>10</v>
      </c>
      <c r="E191" s="1" t="s">
        <v>52</v>
      </c>
      <c r="I191" s="1" t="s">
        <v>12</v>
      </c>
      <c r="J191" s="1" t="s">
        <v>40</v>
      </c>
      <c r="K191" s="1" t="s">
        <v>14</v>
      </c>
      <c r="L191" s="1" t="s">
        <v>12</v>
      </c>
      <c r="M191" s="1" t="s">
        <v>12</v>
      </c>
      <c r="N191" s="1">
        <v>33.18</v>
      </c>
      <c r="O191" s="1" t="s">
        <v>30</v>
      </c>
      <c r="P191" s="1" t="s">
        <v>37</v>
      </c>
      <c r="Q191" s="1" t="s">
        <v>16</v>
      </c>
      <c r="R191" s="1" t="str">
        <f>IF(N191="","",VLOOKUP(N191,Prior_levels,2,TRUE))</f>
        <v>H</v>
      </c>
    </row>
    <row r="192" spans="1:18" x14ac:dyDescent="0.2">
      <c r="A192" s="1" t="s">
        <v>60</v>
      </c>
      <c r="B192" s="1" t="s">
        <v>10</v>
      </c>
      <c r="C192" s="2">
        <v>41155</v>
      </c>
      <c r="D192" s="1">
        <v>10</v>
      </c>
      <c r="E192" s="1" t="s">
        <v>52</v>
      </c>
      <c r="I192" s="1" t="s">
        <v>12</v>
      </c>
      <c r="J192" s="1" t="s">
        <v>40</v>
      </c>
      <c r="K192" s="1" t="s">
        <v>14</v>
      </c>
      <c r="L192" s="1" t="s">
        <v>12</v>
      </c>
      <c r="M192" s="1" t="s">
        <v>12</v>
      </c>
      <c r="N192" s="1">
        <v>33.18</v>
      </c>
      <c r="O192" s="1" t="s">
        <v>31</v>
      </c>
      <c r="P192" s="1" t="s">
        <v>37</v>
      </c>
      <c r="Q192" s="1" t="s">
        <v>16</v>
      </c>
      <c r="R192" s="1" t="str">
        <f>IF(N192="","",VLOOKUP(N192,Prior_levels,2,TRUE))</f>
        <v>H</v>
      </c>
    </row>
    <row r="193" spans="1:18" x14ac:dyDescent="0.2">
      <c r="A193" s="1" t="s">
        <v>60</v>
      </c>
      <c r="B193" s="1" t="s">
        <v>10</v>
      </c>
      <c r="C193" s="2">
        <v>41155</v>
      </c>
      <c r="D193" s="1">
        <v>10</v>
      </c>
      <c r="E193" s="1" t="s">
        <v>52</v>
      </c>
      <c r="I193" s="1" t="s">
        <v>12</v>
      </c>
      <c r="J193" s="1" t="s">
        <v>40</v>
      </c>
      <c r="K193" s="1" t="s">
        <v>14</v>
      </c>
      <c r="L193" s="1" t="s">
        <v>12</v>
      </c>
      <c r="M193" s="1" t="s">
        <v>12</v>
      </c>
      <c r="N193" s="1">
        <v>33.18</v>
      </c>
      <c r="O193" s="1" t="s">
        <v>32</v>
      </c>
      <c r="P193" s="1" t="s">
        <v>37</v>
      </c>
      <c r="Q193" s="1" t="s">
        <v>16</v>
      </c>
      <c r="R193" s="1" t="str">
        <f>IF(N193="","",VLOOKUP(N193,Prior_levels,2,TRUE))</f>
        <v>H</v>
      </c>
    </row>
    <row r="194" spans="1:18" x14ac:dyDescent="0.2">
      <c r="A194" s="1" t="s">
        <v>61</v>
      </c>
      <c r="B194" s="1" t="s">
        <v>10</v>
      </c>
      <c r="C194" s="2">
        <v>41155</v>
      </c>
      <c r="D194" s="1">
        <v>10</v>
      </c>
      <c r="E194" s="1" t="s">
        <v>11</v>
      </c>
      <c r="I194" s="1" t="s">
        <v>12</v>
      </c>
      <c r="J194" s="1" t="s">
        <v>40</v>
      </c>
      <c r="K194" s="1" t="s">
        <v>14</v>
      </c>
      <c r="L194" s="1" t="s">
        <v>12</v>
      </c>
      <c r="M194" s="1" t="s">
        <v>12</v>
      </c>
      <c r="N194" s="1">
        <v>21.12</v>
      </c>
      <c r="O194" s="1" t="s">
        <v>15</v>
      </c>
      <c r="P194" s="1">
        <v>3.45</v>
      </c>
      <c r="Q194" s="1" t="s">
        <v>16</v>
      </c>
      <c r="R194" s="1" t="str">
        <f>IF(N194="","",VLOOKUP(N194,Prior_levels,2,TRUE))</f>
        <v>L</v>
      </c>
    </row>
    <row r="195" spans="1:18" x14ac:dyDescent="0.2">
      <c r="A195" s="1" t="s">
        <v>61</v>
      </c>
      <c r="B195" s="1" t="s">
        <v>10</v>
      </c>
      <c r="C195" s="2">
        <v>41155</v>
      </c>
      <c r="D195" s="1">
        <v>10</v>
      </c>
      <c r="E195" s="1" t="s">
        <v>11</v>
      </c>
      <c r="I195" s="1" t="s">
        <v>12</v>
      </c>
      <c r="J195" s="1" t="s">
        <v>40</v>
      </c>
      <c r="K195" s="1" t="s">
        <v>14</v>
      </c>
      <c r="L195" s="1" t="s">
        <v>12</v>
      </c>
      <c r="M195" s="1" t="s">
        <v>12</v>
      </c>
      <c r="N195" s="1">
        <v>21.12</v>
      </c>
      <c r="O195" s="1" t="s">
        <v>17</v>
      </c>
      <c r="P195" s="1">
        <v>0.62</v>
      </c>
      <c r="Q195" s="1" t="s">
        <v>16</v>
      </c>
      <c r="R195" s="1" t="str">
        <f>IF(N195="","",VLOOKUP(N195,Prior_levels,2,TRUE))</f>
        <v>L</v>
      </c>
    </row>
    <row r="196" spans="1:18" x14ac:dyDescent="0.2">
      <c r="A196" s="1" t="s">
        <v>61</v>
      </c>
      <c r="B196" s="1" t="s">
        <v>10</v>
      </c>
      <c r="C196" s="2">
        <v>41155</v>
      </c>
      <c r="D196" s="1">
        <v>10</v>
      </c>
      <c r="E196" s="1" t="s">
        <v>11</v>
      </c>
      <c r="I196" s="1" t="s">
        <v>12</v>
      </c>
      <c r="J196" s="1" t="s">
        <v>40</v>
      </c>
      <c r="K196" s="1" t="s">
        <v>14</v>
      </c>
      <c r="L196" s="1" t="s">
        <v>12</v>
      </c>
      <c r="M196" s="1" t="s">
        <v>12</v>
      </c>
      <c r="N196" s="1">
        <v>21.12</v>
      </c>
      <c r="O196" s="1" t="s">
        <v>18</v>
      </c>
      <c r="P196" s="1">
        <v>10</v>
      </c>
      <c r="Q196" s="1" t="s">
        <v>16</v>
      </c>
      <c r="R196" s="1" t="str">
        <f>IF(N196="","",VLOOKUP(N196,Prior_levels,2,TRUE))</f>
        <v>L</v>
      </c>
    </row>
    <row r="197" spans="1:18" x14ac:dyDescent="0.2">
      <c r="A197" s="1" t="s">
        <v>61</v>
      </c>
      <c r="B197" s="1" t="s">
        <v>10</v>
      </c>
      <c r="C197" s="2">
        <v>41155</v>
      </c>
      <c r="D197" s="1">
        <v>10</v>
      </c>
      <c r="E197" s="1" t="s">
        <v>11</v>
      </c>
      <c r="I197" s="1" t="s">
        <v>12</v>
      </c>
      <c r="J197" s="1" t="s">
        <v>40</v>
      </c>
      <c r="K197" s="1" t="s">
        <v>14</v>
      </c>
      <c r="L197" s="1" t="s">
        <v>12</v>
      </c>
      <c r="M197" s="1" t="s">
        <v>12</v>
      </c>
      <c r="N197" s="1">
        <v>21.12</v>
      </c>
      <c r="O197" s="1" t="s">
        <v>19</v>
      </c>
      <c r="P197" s="1">
        <v>4</v>
      </c>
      <c r="Q197" s="1" t="s">
        <v>16</v>
      </c>
      <c r="R197" s="1" t="str">
        <f>IF(N197="","",VLOOKUP(N197,Prior_levels,2,TRUE))</f>
        <v>L</v>
      </c>
    </row>
    <row r="198" spans="1:18" x14ac:dyDescent="0.2">
      <c r="A198" s="1" t="s">
        <v>61</v>
      </c>
      <c r="B198" s="1" t="s">
        <v>10</v>
      </c>
      <c r="C198" s="2">
        <v>41155</v>
      </c>
      <c r="D198" s="1">
        <v>10</v>
      </c>
      <c r="E198" s="1" t="s">
        <v>11</v>
      </c>
      <c r="I198" s="1" t="s">
        <v>12</v>
      </c>
      <c r="J198" s="1" t="s">
        <v>40</v>
      </c>
      <c r="K198" s="1" t="s">
        <v>14</v>
      </c>
      <c r="L198" s="1" t="s">
        <v>12</v>
      </c>
      <c r="M198" s="1" t="s">
        <v>12</v>
      </c>
      <c r="N198" s="1">
        <v>21.12</v>
      </c>
      <c r="O198" s="1" t="s">
        <v>20</v>
      </c>
      <c r="P198" s="1">
        <v>7.5</v>
      </c>
      <c r="Q198" s="1" t="s">
        <v>16</v>
      </c>
      <c r="R198" s="1" t="str">
        <f>IF(N198="","",VLOOKUP(N198,Prior_levels,2,TRUE))</f>
        <v>L</v>
      </c>
    </row>
    <row r="199" spans="1:18" x14ac:dyDescent="0.2">
      <c r="A199" s="1" t="s">
        <v>61</v>
      </c>
      <c r="B199" s="1" t="s">
        <v>10</v>
      </c>
      <c r="C199" s="2">
        <v>41155</v>
      </c>
      <c r="D199" s="1">
        <v>10</v>
      </c>
      <c r="E199" s="1" t="s">
        <v>11</v>
      </c>
      <c r="I199" s="1" t="s">
        <v>12</v>
      </c>
      <c r="J199" s="1" t="s">
        <v>40</v>
      </c>
      <c r="K199" s="1" t="s">
        <v>14</v>
      </c>
      <c r="L199" s="1" t="s">
        <v>12</v>
      </c>
      <c r="M199" s="1" t="s">
        <v>12</v>
      </c>
      <c r="N199" s="1">
        <v>21.12</v>
      </c>
      <c r="O199" s="1" t="s">
        <v>21</v>
      </c>
      <c r="P199" s="1">
        <v>13</v>
      </c>
      <c r="Q199" s="1" t="s">
        <v>16</v>
      </c>
      <c r="R199" s="1" t="str">
        <f>IF(N199="","",VLOOKUP(N199,Prior_levels,2,TRUE))</f>
        <v>L</v>
      </c>
    </row>
    <row r="200" spans="1:18" x14ac:dyDescent="0.2">
      <c r="A200" s="1" t="s">
        <v>61</v>
      </c>
      <c r="B200" s="1" t="s">
        <v>10</v>
      </c>
      <c r="C200" s="2">
        <v>41155</v>
      </c>
      <c r="D200" s="1">
        <v>10</v>
      </c>
      <c r="E200" s="1" t="s">
        <v>11</v>
      </c>
      <c r="I200" s="1" t="s">
        <v>12</v>
      </c>
      <c r="J200" s="1" t="s">
        <v>40</v>
      </c>
      <c r="K200" s="1" t="s">
        <v>14</v>
      </c>
      <c r="L200" s="1" t="s">
        <v>12</v>
      </c>
      <c r="M200" s="1" t="s">
        <v>12</v>
      </c>
      <c r="N200" s="1">
        <v>21.12</v>
      </c>
      <c r="O200" s="1" t="s">
        <v>22</v>
      </c>
      <c r="P200" s="1">
        <v>1.34</v>
      </c>
      <c r="Q200" s="1" t="s">
        <v>16</v>
      </c>
      <c r="R200" s="1" t="str">
        <f>IF(N200="","",VLOOKUP(N200,Prior_levels,2,TRUE))</f>
        <v>L</v>
      </c>
    </row>
    <row r="201" spans="1:18" x14ac:dyDescent="0.2">
      <c r="A201" s="1" t="s">
        <v>61</v>
      </c>
      <c r="B201" s="1" t="s">
        <v>10</v>
      </c>
      <c r="C201" s="2">
        <v>41155</v>
      </c>
      <c r="D201" s="1">
        <v>10</v>
      </c>
      <c r="E201" s="1" t="s">
        <v>11</v>
      </c>
      <c r="I201" s="1" t="s">
        <v>12</v>
      </c>
      <c r="J201" s="1" t="s">
        <v>40</v>
      </c>
      <c r="K201" s="1" t="s">
        <v>14</v>
      </c>
      <c r="L201" s="1" t="s">
        <v>12</v>
      </c>
      <c r="M201" s="1" t="s">
        <v>12</v>
      </c>
      <c r="N201" s="1">
        <v>21.12</v>
      </c>
      <c r="O201" s="1" t="s">
        <v>23</v>
      </c>
      <c r="P201" s="1">
        <v>-0.61</v>
      </c>
      <c r="Q201" s="1" t="s">
        <v>16</v>
      </c>
      <c r="R201" s="1" t="str">
        <f>IF(N201="","",VLOOKUP(N201,Prior_levels,2,TRUE))</f>
        <v>L</v>
      </c>
    </row>
    <row r="202" spans="1:18" x14ac:dyDescent="0.2">
      <c r="A202" s="1" t="s">
        <v>61</v>
      </c>
      <c r="B202" s="1" t="s">
        <v>10</v>
      </c>
      <c r="C202" s="2">
        <v>41155</v>
      </c>
      <c r="D202" s="1">
        <v>10</v>
      </c>
      <c r="E202" s="1" t="s">
        <v>11</v>
      </c>
      <c r="I202" s="1" t="s">
        <v>12</v>
      </c>
      <c r="J202" s="1" t="s">
        <v>40</v>
      </c>
      <c r="K202" s="1" t="s">
        <v>14</v>
      </c>
      <c r="L202" s="1" t="s">
        <v>12</v>
      </c>
      <c r="M202" s="1" t="s">
        <v>12</v>
      </c>
      <c r="N202" s="1">
        <v>21.12</v>
      </c>
      <c r="O202" s="1" t="s">
        <v>25</v>
      </c>
      <c r="P202" s="1">
        <v>1.8</v>
      </c>
      <c r="Q202" s="1" t="s">
        <v>16</v>
      </c>
      <c r="R202" s="1" t="str">
        <f>IF(N202="","",VLOOKUP(N202,Prior_levels,2,TRUE))</f>
        <v>L</v>
      </c>
    </row>
    <row r="203" spans="1:18" x14ac:dyDescent="0.2">
      <c r="A203" s="1" t="s">
        <v>61</v>
      </c>
      <c r="B203" s="1" t="s">
        <v>10</v>
      </c>
      <c r="C203" s="2">
        <v>41155</v>
      </c>
      <c r="D203" s="1">
        <v>10</v>
      </c>
      <c r="E203" s="1" t="s">
        <v>11</v>
      </c>
      <c r="I203" s="1" t="s">
        <v>12</v>
      </c>
      <c r="J203" s="1" t="s">
        <v>40</v>
      </c>
      <c r="K203" s="1" t="s">
        <v>14</v>
      </c>
      <c r="L203" s="1" t="s">
        <v>12</v>
      </c>
      <c r="M203" s="1" t="s">
        <v>12</v>
      </c>
      <c r="N203" s="1">
        <v>21.12</v>
      </c>
      <c r="O203" s="1" t="s">
        <v>26</v>
      </c>
      <c r="P203" s="1">
        <v>5</v>
      </c>
      <c r="Q203" s="1" t="s">
        <v>16</v>
      </c>
      <c r="R203" s="1" t="str">
        <f>IF(N203="","",VLOOKUP(N203,Prior_levels,2,TRUE))</f>
        <v>L</v>
      </c>
    </row>
    <row r="204" spans="1:18" x14ac:dyDescent="0.2">
      <c r="A204" s="1" t="s">
        <v>61</v>
      </c>
      <c r="B204" s="1" t="s">
        <v>10</v>
      </c>
      <c r="C204" s="2">
        <v>41155</v>
      </c>
      <c r="D204" s="1">
        <v>10</v>
      </c>
      <c r="E204" s="1" t="s">
        <v>11</v>
      </c>
      <c r="I204" s="1" t="s">
        <v>12</v>
      </c>
      <c r="J204" s="1" t="s">
        <v>40</v>
      </c>
      <c r="K204" s="1" t="s">
        <v>14</v>
      </c>
      <c r="L204" s="1" t="s">
        <v>12</v>
      </c>
      <c r="M204" s="1" t="s">
        <v>12</v>
      </c>
      <c r="N204" s="1">
        <v>21.12</v>
      </c>
      <c r="O204" s="1" t="s">
        <v>24</v>
      </c>
      <c r="P204" s="1">
        <v>2.99</v>
      </c>
      <c r="Q204" s="1" t="s">
        <v>16</v>
      </c>
      <c r="R204" s="1" t="str">
        <f>IF(N204="","",VLOOKUP(N204,Prior_levels,2,TRUE))</f>
        <v>L</v>
      </c>
    </row>
    <row r="205" spans="1:18" x14ac:dyDescent="0.2">
      <c r="A205" s="1" t="s">
        <v>61</v>
      </c>
      <c r="B205" s="1" t="s">
        <v>10</v>
      </c>
      <c r="C205" s="2">
        <v>41155</v>
      </c>
      <c r="D205" s="1">
        <v>10</v>
      </c>
      <c r="E205" s="1" t="s">
        <v>11</v>
      </c>
      <c r="I205" s="1" t="s">
        <v>12</v>
      </c>
      <c r="J205" s="1" t="s">
        <v>40</v>
      </c>
      <c r="K205" s="1" t="s">
        <v>14</v>
      </c>
      <c r="L205" s="1" t="s">
        <v>12</v>
      </c>
      <c r="M205" s="1" t="s">
        <v>12</v>
      </c>
      <c r="N205" s="1">
        <v>21.12</v>
      </c>
      <c r="O205" s="1" t="s">
        <v>27</v>
      </c>
      <c r="P205" s="1" t="s">
        <v>28</v>
      </c>
      <c r="Q205" s="1" t="s">
        <v>16</v>
      </c>
      <c r="R205" s="1" t="str">
        <f>IF(N205="","",VLOOKUP(N205,Prior_levels,2,TRUE))</f>
        <v>L</v>
      </c>
    </row>
    <row r="206" spans="1:18" x14ac:dyDescent="0.2">
      <c r="A206" s="1" t="s">
        <v>61</v>
      </c>
      <c r="B206" s="1" t="s">
        <v>10</v>
      </c>
      <c r="C206" s="2">
        <v>41155</v>
      </c>
      <c r="D206" s="1">
        <v>10</v>
      </c>
      <c r="E206" s="1" t="s">
        <v>11</v>
      </c>
      <c r="I206" s="1" t="s">
        <v>12</v>
      </c>
      <c r="J206" s="1" t="s">
        <v>40</v>
      </c>
      <c r="K206" s="1" t="s">
        <v>14</v>
      </c>
      <c r="L206" s="1" t="s">
        <v>12</v>
      </c>
      <c r="M206" s="1" t="s">
        <v>12</v>
      </c>
      <c r="N206" s="1">
        <v>21.12</v>
      </c>
      <c r="O206" s="1" t="s">
        <v>29</v>
      </c>
      <c r="P206" s="1" t="s">
        <v>37</v>
      </c>
      <c r="Q206" s="1" t="s">
        <v>16</v>
      </c>
      <c r="R206" s="1" t="str">
        <f>IF(N206="","",VLOOKUP(N206,Prior_levels,2,TRUE))</f>
        <v>L</v>
      </c>
    </row>
    <row r="207" spans="1:18" x14ac:dyDescent="0.2">
      <c r="A207" s="1" t="s">
        <v>61</v>
      </c>
      <c r="B207" s="1" t="s">
        <v>10</v>
      </c>
      <c r="C207" s="2">
        <v>41155</v>
      </c>
      <c r="D207" s="1">
        <v>10</v>
      </c>
      <c r="E207" s="1" t="s">
        <v>11</v>
      </c>
      <c r="I207" s="1" t="s">
        <v>12</v>
      </c>
      <c r="J207" s="1" t="s">
        <v>40</v>
      </c>
      <c r="K207" s="1" t="s">
        <v>14</v>
      </c>
      <c r="L207" s="1" t="s">
        <v>12</v>
      </c>
      <c r="M207" s="1" t="s">
        <v>12</v>
      </c>
      <c r="N207" s="1">
        <v>21.12</v>
      </c>
      <c r="O207" s="1" t="s">
        <v>30</v>
      </c>
      <c r="P207" s="1" t="s">
        <v>28</v>
      </c>
      <c r="Q207" s="1" t="s">
        <v>16</v>
      </c>
      <c r="R207" s="1" t="str">
        <f>IF(N207="","",VLOOKUP(N207,Prior_levels,2,TRUE))</f>
        <v>L</v>
      </c>
    </row>
    <row r="208" spans="1:18" x14ac:dyDescent="0.2">
      <c r="A208" s="1" t="s">
        <v>61</v>
      </c>
      <c r="B208" s="1" t="s">
        <v>10</v>
      </c>
      <c r="C208" s="2">
        <v>41155</v>
      </c>
      <c r="D208" s="1">
        <v>10</v>
      </c>
      <c r="E208" s="1" t="s">
        <v>11</v>
      </c>
      <c r="I208" s="1" t="s">
        <v>12</v>
      </c>
      <c r="J208" s="1" t="s">
        <v>40</v>
      </c>
      <c r="K208" s="1" t="s">
        <v>14</v>
      </c>
      <c r="L208" s="1" t="s">
        <v>12</v>
      </c>
      <c r="M208" s="1" t="s">
        <v>12</v>
      </c>
      <c r="N208" s="1">
        <v>21.12</v>
      </c>
      <c r="O208" s="1" t="s">
        <v>31</v>
      </c>
      <c r="P208" s="1" t="s">
        <v>28</v>
      </c>
      <c r="Q208" s="1" t="s">
        <v>16</v>
      </c>
      <c r="R208" s="1" t="str">
        <f>IF(N208="","",VLOOKUP(N208,Prior_levels,2,TRUE))</f>
        <v>L</v>
      </c>
    </row>
    <row r="209" spans="1:18" x14ac:dyDescent="0.2">
      <c r="A209" s="1" t="s">
        <v>61</v>
      </c>
      <c r="B209" s="1" t="s">
        <v>10</v>
      </c>
      <c r="C209" s="2">
        <v>41155</v>
      </c>
      <c r="D209" s="1">
        <v>10</v>
      </c>
      <c r="E209" s="1" t="s">
        <v>11</v>
      </c>
      <c r="I209" s="1" t="s">
        <v>12</v>
      </c>
      <c r="J209" s="1" t="s">
        <v>40</v>
      </c>
      <c r="K209" s="1" t="s">
        <v>14</v>
      </c>
      <c r="L209" s="1" t="s">
        <v>12</v>
      </c>
      <c r="M209" s="1" t="s">
        <v>12</v>
      </c>
      <c r="N209" s="1">
        <v>21.12</v>
      </c>
      <c r="O209" s="1" t="s">
        <v>32</v>
      </c>
      <c r="P209" s="1" t="s">
        <v>28</v>
      </c>
      <c r="Q209" s="1" t="s">
        <v>16</v>
      </c>
      <c r="R209" s="1" t="str">
        <f>IF(N209="","",VLOOKUP(N209,Prior_levels,2,TRUE))</f>
        <v>L</v>
      </c>
    </row>
    <row r="210" spans="1:18" x14ac:dyDescent="0.2">
      <c r="A210" s="1" t="s">
        <v>62</v>
      </c>
      <c r="B210" s="1" t="s">
        <v>10</v>
      </c>
      <c r="C210" s="2">
        <v>41155</v>
      </c>
      <c r="D210" s="1">
        <v>10</v>
      </c>
      <c r="E210" s="1" t="s">
        <v>42</v>
      </c>
      <c r="I210" s="1" t="s">
        <v>12</v>
      </c>
      <c r="J210" s="1" t="s">
        <v>40</v>
      </c>
      <c r="K210" s="1" t="s">
        <v>14</v>
      </c>
      <c r="L210" s="1" t="s">
        <v>12</v>
      </c>
      <c r="M210" s="1" t="s">
        <v>12</v>
      </c>
      <c r="N210" s="1">
        <v>27.12</v>
      </c>
      <c r="O210" s="1" t="s">
        <v>15</v>
      </c>
      <c r="P210" s="1">
        <v>4.5</v>
      </c>
      <c r="Q210" s="1" t="s">
        <v>16</v>
      </c>
      <c r="R210" s="1" t="str">
        <f>IF(N210="","",VLOOKUP(N210,Prior_levels,2,TRUE))</f>
        <v>M</v>
      </c>
    </row>
    <row r="211" spans="1:18" x14ac:dyDescent="0.2">
      <c r="A211" s="1" t="s">
        <v>62</v>
      </c>
      <c r="B211" s="1" t="s">
        <v>10</v>
      </c>
      <c r="C211" s="2">
        <v>41155</v>
      </c>
      <c r="D211" s="1">
        <v>10</v>
      </c>
      <c r="E211" s="1" t="s">
        <v>42</v>
      </c>
      <c r="I211" s="1" t="s">
        <v>12</v>
      </c>
      <c r="J211" s="1" t="s">
        <v>40</v>
      </c>
      <c r="K211" s="1" t="s">
        <v>14</v>
      </c>
      <c r="L211" s="1" t="s">
        <v>12</v>
      </c>
      <c r="M211" s="1" t="s">
        <v>12</v>
      </c>
      <c r="N211" s="1">
        <v>27.12</v>
      </c>
      <c r="O211" s="1" t="s">
        <v>17</v>
      </c>
      <c r="P211" s="1">
        <v>-0.05</v>
      </c>
      <c r="Q211" s="1" t="s">
        <v>16</v>
      </c>
      <c r="R211" s="1" t="str">
        <f>IF(N211="","",VLOOKUP(N211,Prior_levels,2,TRUE))</f>
        <v>M</v>
      </c>
    </row>
    <row r="212" spans="1:18" x14ac:dyDescent="0.2">
      <c r="A212" s="1" t="s">
        <v>62</v>
      </c>
      <c r="B212" s="1" t="s">
        <v>10</v>
      </c>
      <c r="C212" s="2">
        <v>41155</v>
      </c>
      <c r="D212" s="1">
        <v>10</v>
      </c>
      <c r="E212" s="1" t="s">
        <v>42</v>
      </c>
      <c r="I212" s="1" t="s">
        <v>12</v>
      </c>
      <c r="J212" s="1" t="s">
        <v>40</v>
      </c>
      <c r="K212" s="1" t="s">
        <v>14</v>
      </c>
      <c r="L212" s="1" t="s">
        <v>12</v>
      </c>
      <c r="M212" s="1" t="s">
        <v>12</v>
      </c>
      <c r="N212" s="1">
        <v>27.12</v>
      </c>
      <c r="O212" s="1" t="s">
        <v>18</v>
      </c>
      <c r="P212" s="1">
        <v>10</v>
      </c>
      <c r="Q212" s="1" t="s">
        <v>16</v>
      </c>
      <c r="R212" s="1" t="str">
        <f>IF(N212="","",VLOOKUP(N212,Prior_levels,2,TRUE))</f>
        <v>M</v>
      </c>
    </row>
    <row r="213" spans="1:18" x14ac:dyDescent="0.2">
      <c r="A213" s="1" t="s">
        <v>62</v>
      </c>
      <c r="B213" s="1" t="s">
        <v>10</v>
      </c>
      <c r="C213" s="2">
        <v>41155</v>
      </c>
      <c r="D213" s="1">
        <v>10</v>
      </c>
      <c r="E213" s="1" t="s">
        <v>42</v>
      </c>
      <c r="I213" s="1" t="s">
        <v>12</v>
      </c>
      <c r="J213" s="1" t="s">
        <v>40</v>
      </c>
      <c r="K213" s="1" t="s">
        <v>14</v>
      </c>
      <c r="L213" s="1" t="s">
        <v>12</v>
      </c>
      <c r="M213" s="1" t="s">
        <v>12</v>
      </c>
      <c r="N213" s="1">
        <v>27.12</v>
      </c>
      <c r="O213" s="1" t="s">
        <v>19</v>
      </c>
      <c r="P213" s="1">
        <v>10</v>
      </c>
      <c r="Q213" s="1" t="s">
        <v>16</v>
      </c>
      <c r="R213" s="1" t="str">
        <f>IF(N213="","",VLOOKUP(N213,Prior_levels,2,TRUE))</f>
        <v>M</v>
      </c>
    </row>
    <row r="214" spans="1:18" x14ac:dyDescent="0.2">
      <c r="A214" s="1" t="s">
        <v>62</v>
      </c>
      <c r="B214" s="1" t="s">
        <v>10</v>
      </c>
      <c r="C214" s="2">
        <v>41155</v>
      </c>
      <c r="D214" s="1">
        <v>10</v>
      </c>
      <c r="E214" s="1" t="s">
        <v>42</v>
      </c>
      <c r="I214" s="1" t="s">
        <v>12</v>
      </c>
      <c r="J214" s="1" t="s">
        <v>40</v>
      </c>
      <c r="K214" s="1" t="s">
        <v>14</v>
      </c>
      <c r="L214" s="1" t="s">
        <v>12</v>
      </c>
      <c r="M214" s="1" t="s">
        <v>12</v>
      </c>
      <c r="N214" s="1">
        <v>27.12</v>
      </c>
      <c r="O214" s="1" t="s">
        <v>20</v>
      </c>
      <c r="P214" s="1">
        <v>12</v>
      </c>
      <c r="Q214" s="1" t="s">
        <v>16</v>
      </c>
      <c r="R214" s="1" t="str">
        <f>IF(N214="","",VLOOKUP(N214,Prior_levels,2,TRUE))</f>
        <v>M</v>
      </c>
    </row>
    <row r="215" spans="1:18" x14ac:dyDescent="0.2">
      <c r="A215" s="1" t="s">
        <v>62</v>
      </c>
      <c r="B215" s="1" t="s">
        <v>10</v>
      </c>
      <c r="C215" s="2">
        <v>41155</v>
      </c>
      <c r="D215" s="1">
        <v>10</v>
      </c>
      <c r="E215" s="1" t="s">
        <v>42</v>
      </c>
      <c r="I215" s="1" t="s">
        <v>12</v>
      </c>
      <c r="J215" s="1" t="s">
        <v>40</v>
      </c>
      <c r="K215" s="1" t="s">
        <v>14</v>
      </c>
      <c r="L215" s="1" t="s">
        <v>12</v>
      </c>
      <c r="M215" s="1" t="s">
        <v>12</v>
      </c>
      <c r="N215" s="1">
        <v>27.12</v>
      </c>
      <c r="O215" s="1" t="s">
        <v>21</v>
      </c>
      <c r="P215" s="1">
        <v>13</v>
      </c>
      <c r="Q215" s="1" t="s">
        <v>16</v>
      </c>
      <c r="R215" s="1" t="str">
        <f>IF(N215="","",VLOOKUP(N215,Prior_levels,2,TRUE))</f>
        <v>M</v>
      </c>
    </row>
    <row r="216" spans="1:18" x14ac:dyDescent="0.2">
      <c r="A216" s="1" t="s">
        <v>62</v>
      </c>
      <c r="B216" s="1" t="s">
        <v>10</v>
      </c>
      <c r="C216" s="2">
        <v>41155</v>
      </c>
      <c r="D216" s="1">
        <v>10</v>
      </c>
      <c r="E216" s="1" t="s">
        <v>42</v>
      </c>
      <c r="I216" s="1" t="s">
        <v>12</v>
      </c>
      <c r="J216" s="1" t="s">
        <v>40</v>
      </c>
      <c r="K216" s="1" t="s">
        <v>14</v>
      </c>
      <c r="L216" s="1" t="s">
        <v>12</v>
      </c>
      <c r="M216" s="1" t="s">
        <v>12</v>
      </c>
      <c r="N216" s="1">
        <v>27.12</v>
      </c>
      <c r="O216" s="1" t="s">
        <v>22</v>
      </c>
      <c r="P216" s="1">
        <v>-0.05</v>
      </c>
      <c r="Q216" s="1" t="s">
        <v>16</v>
      </c>
      <c r="R216" s="1" t="str">
        <f>IF(N216="","",VLOOKUP(N216,Prior_levels,2,TRUE))</f>
        <v>M</v>
      </c>
    </row>
    <row r="217" spans="1:18" x14ac:dyDescent="0.2">
      <c r="A217" s="1" t="s">
        <v>62</v>
      </c>
      <c r="B217" s="1" t="s">
        <v>10</v>
      </c>
      <c r="C217" s="2">
        <v>41155</v>
      </c>
      <c r="D217" s="1">
        <v>10</v>
      </c>
      <c r="E217" s="1" t="s">
        <v>42</v>
      </c>
      <c r="I217" s="1" t="s">
        <v>12</v>
      </c>
      <c r="J217" s="1" t="s">
        <v>40</v>
      </c>
      <c r="K217" s="1" t="s">
        <v>14</v>
      </c>
      <c r="L217" s="1" t="s">
        <v>12</v>
      </c>
      <c r="M217" s="1" t="s">
        <v>12</v>
      </c>
      <c r="N217" s="1">
        <v>27.12</v>
      </c>
      <c r="O217" s="1" t="s">
        <v>23</v>
      </c>
      <c r="P217" s="1">
        <v>0.36</v>
      </c>
      <c r="Q217" s="1" t="s">
        <v>16</v>
      </c>
      <c r="R217" s="1" t="str">
        <f>IF(N217="","",VLOOKUP(N217,Prior_levels,2,TRUE))</f>
        <v>M</v>
      </c>
    </row>
    <row r="218" spans="1:18" x14ac:dyDescent="0.2">
      <c r="A218" s="1" t="s">
        <v>62</v>
      </c>
      <c r="B218" s="1" t="s">
        <v>10</v>
      </c>
      <c r="C218" s="2">
        <v>41155</v>
      </c>
      <c r="D218" s="1">
        <v>10</v>
      </c>
      <c r="E218" s="1" t="s">
        <v>42</v>
      </c>
      <c r="I218" s="1" t="s">
        <v>12</v>
      </c>
      <c r="J218" s="1" t="s">
        <v>40</v>
      </c>
      <c r="K218" s="1" t="s">
        <v>14</v>
      </c>
      <c r="L218" s="1" t="s">
        <v>12</v>
      </c>
      <c r="M218" s="1" t="s">
        <v>12</v>
      </c>
      <c r="N218" s="1">
        <v>27.12</v>
      </c>
      <c r="O218" s="1" t="s">
        <v>25</v>
      </c>
      <c r="P218" s="1">
        <v>-1.89</v>
      </c>
      <c r="Q218" s="1" t="s">
        <v>16</v>
      </c>
      <c r="R218" s="1" t="str">
        <f>IF(N218="","",VLOOKUP(N218,Prior_levels,2,TRUE))</f>
        <v>M</v>
      </c>
    </row>
    <row r="219" spans="1:18" x14ac:dyDescent="0.2">
      <c r="A219" s="1" t="s">
        <v>62</v>
      </c>
      <c r="B219" s="1" t="s">
        <v>10</v>
      </c>
      <c r="C219" s="2">
        <v>41155</v>
      </c>
      <c r="D219" s="1">
        <v>10</v>
      </c>
      <c r="E219" s="1" t="s">
        <v>42</v>
      </c>
      <c r="I219" s="1" t="s">
        <v>12</v>
      </c>
      <c r="J219" s="1" t="s">
        <v>40</v>
      </c>
      <c r="K219" s="1" t="s">
        <v>14</v>
      </c>
      <c r="L219" s="1" t="s">
        <v>12</v>
      </c>
      <c r="M219" s="1" t="s">
        <v>12</v>
      </c>
      <c r="N219" s="1">
        <v>27.12</v>
      </c>
      <c r="O219" s="1" t="s">
        <v>26</v>
      </c>
      <c r="P219" s="1">
        <v>9</v>
      </c>
      <c r="Q219" s="1" t="s">
        <v>16</v>
      </c>
      <c r="R219" s="1" t="str">
        <f>IF(N219="","",VLOOKUP(N219,Prior_levels,2,TRUE))</f>
        <v>M</v>
      </c>
    </row>
    <row r="220" spans="1:18" x14ac:dyDescent="0.2">
      <c r="A220" s="1" t="s">
        <v>62</v>
      </c>
      <c r="B220" s="1" t="s">
        <v>10</v>
      </c>
      <c r="C220" s="2">
        <v>41155</v>
      </c>
      <c r="D220" s="1">
        <v>10</v>
      </c>
      <c r="E220" s="1" t="s">
        <v>42</v>
      </c>
      <c r="I220" s="1" t="s">
        <v>12</v>
      </c>
      <c r="J220" s="1" t="s">
        <v>40</v>
      </c>
      <c r="K220" s="1" t="s">
        <v>14</v>
      </c>
      <c r="L220" s="1" t="s">
        <v>12</v>
      </c>
      <c r="M220" s="1" t="s">
        <v>12</v>
      </c>
      <c r="N220" s="1">
        <v>27.12</v>
      </c>
      <c r="O220" s="1" t="s">
        <v>24</v>
      </c>
      <c r="P220" s="1">
        <v>0.75</v>
      </c>
      <c r="Q220" s="1" t="s">
        <v>16</v>
      </c>
      <c r="R220" s="1" t="str">
        <f>IF(N220="","",VLOOKUP(N220,Prior_levels,2,TRUE))</f>
        <v>M</v>
      </c>
    </row>
    <row r="221" spans="1:18" x14ac:dyDescent="0.2">
      <c r="A221" s="1" t="s">
        <v>62</v>
      </c>
      <c r="B221" s="1" t="s">
        <v>10</v>
      </c>
      <c r="C221" s="2">
        <v>41155</v>
      </c>
      <c r="D221" s="1">
        <v>10</v>
      </c>
      <c r="E221" s="1" t="s">
        <v>42</v>
      </c>
      <c r="I221" s="1" t="s">
        <v>12</v>
      </c>
      <c r="J221" s="1" t="s">
        <v>40</v>
      </c>
      <c r="K221" s="1" t="s">
        <v>14</v>
      </c>
      <c r="L221" s="1" t="s">
        <v>12</v>
      </c>
      <c r="M221" s="1" t="s">
        <v>12</v>
      </c>
      <c r="N221" s="1">
        <v>27.12</v>
      </c>
      <c r="O221" s="1" t="s">
        <v>32</v>
      </c>
      <c r="P221" s="1" t="s">
        <v>37</v>
      </c>
      <c r="Q221" s="1" t="s">
        <v>16</v>
      </c>
      <c r="R221" s="1" t="str">
        <f>IF(N221="","",VLOOKUP(N221,Prior_levels,2,TRUE))</f>
        <v>M</v>
      </c>
    </row>
    <row r="222" spans="1:18" x14ac:dyDescent="0.2">
      <c r="A222" s="1" t="s">
        <v>62</v>
      </c>
      <c r="B222" s="1" t="s">
        <v>10</v>
      </c>
      <c r="C222" s="2">
        <v>41155</v>
      </c>
      <c r="D222" s="1">
        <v>10</v>
      </c>
      <c r="E222" s="1" t="s">
        <v>42</v>
      </c>
      <c r="I222" s="1" t="s">
        <v>12</v>
      </c>
      <c r="J222" s="1" t="s">
        <v>40</v>
      </c>
      <c r="K222" s="1" t="s">
        <v>14</v>
      </c>
      <c r="L222" s="1" t="s">
        <v>12</v>
      </c>
      <c r="M222" s="1" t="s">
        <v>12</v>
      </c>
      <c r="N222" s="1">
        <v>27.12</v>
      </c>
      <c r="O222" s="1" t="s">
        <v>27</v>
      </c>
      <c r="P222" s="1" t="s">
        <v>37</v>
      </c>
      <c r="Q222" s="1" t="s">
        <v>16</v>
      </c>
      <c r="R222" s="1" t="str">
        <f>IF(N222="","",VLOOKUP(N222,Prior_levels,2,TRUE))</f>
        <v>M</v>
      </c>
    </row>
    <row r="223" spans="1:18" x14ac:dyDescent="0.2">
      <c r="A223" s="1" t="s">
        <v>62</v>
      </c>
      <c r="B223" s="1" t="s">
        <v>10</v>
      </c>
      <c r="C223" s="2">
        <v>41155</v>
      </c>
      <c r="D223" s="1">
        <v>10</v>
      </c>
      <c r="E223" s="1" t="s">
        <v>42</v>
      </c>
      <c r="I223" s="1" t="s">
        <v>12</v>
      </c>
      <c r="J223" s="1" t="s">
        <v>40</v>
      </c>
      <c r="K223" s="1" t="s">
        <v>14</v>
      </c>
      <c r="L223" s="1" t="s">
        <v>12</v>
      </c>
      <c r="M223" s="1" t="s">
        <v>12</v>
      </c>
      <c r="N223" s="1">
        <v>27.12</v>
      </c>
      <c r="O223" s="1" t="s">
        <v>29</v>
      </c>
      <c r="P223" s="1" t="s">
        <v>37</v>
      </c>
      <c r="Q223" s="1" t="s">
        <v>16</v>
      </c>
      <c r="R223" s="1" t="str">
        <f>IF(N223="","",VLOOKUP(N223,Prior_levels,2,TRUE))</f>
        <v>M</v>
      </c>
    </row>
    <row r="224" spans="1:18" x14ac:dyDescent="0.2">
      <c r="A224" s="1" t="s">
        <v>62</v>
      </c>
      <c r="B224" s="1" t="s">
        <v>10</v>
      </c>
      <c r="C224" s="2">
        <v>41155</v>
      </c>
      <c r="D224" s="1">
        <v>10</v>
      </c>
      <c r="E224" s="1" t="s">
        <v>42</v>
      </c>
      <c r="I224" s="1" t="s">
        <v>12</v>
      </c>
      <c r="J224" s="1" t="s">
        <v>40</v>
      </c>
      <c r="K224" s="1" t="s">
        <v>14</v>
      </c>
      <c r="L224" s="1" t="s">
        <v>12</v>
      </c>
      <c r="M224" s="1" t="s">
        <v>12</v>
      </c>
      <c r="N224" s="1">
        <v>27.12</v>
      </c>
      <c r="O224" s="1" t="s">
        <v>30</v>
      </c>
      <c r="P224" s="1" t="s">
        <v>37</v>
      </c>
      <c r="Q224" s="1" t="s">
        <v>16</v>
      </c>
      <c r="R224" s="1" t="str">
        <f>IF(N224="","",VLOOKUP(N224,Prior_levels,2,TRUE))</f>
        <v>M</v>
      </c>
    </row>
    <row r="225" spans="1:18" x14ac:dyDescent="0.2">
      <c r="A225" s="1" t="s">
        <v>62</v>
      </c>
      <c r="B225" s="1" t="s">
        <v>10</v>
      </c>
      <c r="C225" s="2">
        <v>41155</v>
      </c>
      <c r="D225" s="1">
        <v>10</v>
      </c>
      <c r="E225" s="1" t="s">
        <v>42</v>
      </c>
      <c r="I225" s="1" t="s">
        <v>12</v>
      </c>
      <c r="J225" s="1" t="s">
        <v>40</v>
      </c>
      <c r="K225" s="1" t="s">
        <v>14</v>
      </c>
      <c r="L225" s="1" t="s">
        <v>12</v>
      </c>
      <c r="M225" s="1" t="s">
        <v>12</v>
      </c>
      <c r="N225" s="1">
        <v>27.12</v>
      </c>
      <c r="O225" s="1" t="s">
        <v>31</v>
      </c>
      <c r="P225" s="1" t="s">
        <v>37</v>
      </c>
      <c r="Q225" s="1" t="s">
        <v>16</v>
      </c>
      <c r="R225" s="1" t="str">
        <f>IF(N225="","",VLOOKUP(N225,Prior_levels,2,TRUE))</f>
        <v>M</v>
      </c>
    </row>
    <row r="226" spans="1:18" x14ac:dyDescent="0.2">
      <c r="A226" s="1" t="s">
        <v>63</v>
      </c>
      <c r="B226" s="1" t="s">
        <v>10</v>
      </c>
      <c r="C226" s="2">
        <v>41155</v>
      </c>
      <c r="D226" s="1">
        <v>10</v>
      </c>
      <c r="E226" s="1" t="s">
        <v>39</v>
      </c>
      <c r="I226" s="1" t="s">
        <v>12</v>
      </c>
      <c r="J226" s="1" t="s">
        <v>40</v>
      </c>
      <c r="K226" s="1" t="s">
        <v>14</v>
      </c>
      <c r="L226" s="1" t="s">
        <v>12</v>
      </c>
      <c r="M226" s="1" t="s">
        <v>12</v>
      </c>
      <c r="N226" s="1">
        <v>27.12</v>
      </c>
      <c r="O226" s="1" t="s">
        <v>15</v>
      </c>
      <c r="P226" s="1">
        <v>4</v>
      </c>
      <c r="Q226" s="1" t="s">
        <v>16</v>
      </c>
      <c r="R226" s="1" t="str">
        <f>IF(N226="","",VLOOKUP(N226,Prior_levels,2,TRUE))</f>
        <v>M</v>
      </c>
    </row>
    <row r="227" spans="1:18" x14ac:dyDescent="0.2">
      <c r="A227" s="1" t="s">
        <v>63</v>
      </c>
      <c r="B227" s="1" t="s">
        <v>10</v>
      </c>
      <c r="C227" s="2">
        <v>41155</v>
      </c>
      <c r="D227" s="1">
        <v>10</v>
      </c>
      <c r="E227" s="1" t="s">
        <v>39</v>
      </c>
      <c r="I227" s="1" t="s">
        <v>12</v>
      </c>
      <c r="J227" s="1" t="s">
        <v>40</v>
      </c>
      <c r="K227" s="1" t="s">
        <v>14</v>
      </c>
      <c r="L227" s="1" t="s">
        <v>12</v>
      </c>
      <c r="M227" s="1" t="s">
        <v>12</v>
      </c>
      <c r="N227" s="1">
        <v>27.12</v>
      </c>
      <c r="O227" s="1" t="s">
        <v>17</v>
      </c>
      <c r="P227" s="1">
        <v>-0.55000000000000004</v>
      </c>
      <c r="Q227" s="1" t="s">
        <v>16</v>
      </c>
      <c r="R227" s="1" t="str">
        <f>IF(N227="","",VLOOKUP(N227,Prior_levels,2,TRUE))</f>
        <v>M</v>
      </c>
    </row>
    <row r="228" spans="1:18" x14ac:dyDescent="0.2">
      <c r="A228" s="1" t="s">
        <v>63</v>
      </c>
      <c r="B228" s="1" t="s">
        <v>10</v>
      </c>
      <c r="C228" s="2">
        <v>41155</v>
      </c>
      <c r="D228" s="1">
        <v>10</v>
      </c>
      <c r="E228" s="1" t="s">
        <v>39</v>
      </c>
      <c r="I228" s="1" t="s">
        <v>12</v>
      </c>
      <c r="J228" s="1" t="s">
        <v>40</v>
      </c>
      <c r="K228" s="1" t="s">
        <v>14</v>
      </c>
      <c r="L228" s="1" t="s">
        <v>12</v>
      </c>
      <c r="M228" s="1" t="s">
        <v>12</v>
      </c>
      <c r="N228" s="1">
        <v>27.12</v>
      </c>
      <c r="O228" s="1" t="s">
        <v>18</v>
      </c>
      <c r="P228" s="1">
        <v>8</v>
      </c>
      <c r="Q228" s="1" t="s">
        <v>16</v>
      </c>
      <c r="R228" s="1" t="str">
        <f>IF(N228="","",VLOOKUP(N228,Prior_levels,2,TRUE))</f>
        <v>M</v>
      </c>
    </row>
    <row r="229" spans="1:18" x14ac:dyDescent="0.2">
      <c r="A229" s="1" t="s">
        <v>63</v>
      </c>
      <c r="B229" s="1" t="s">
        <v>10</v>
      </c>
      <c r="C229" s="2">
        <v>41155</v>
      </c>
      <c r="D229" s="1">
        <v>10</v>
      </c>
      <c r="E229" s="1" t="s">
        <v>39</v>
      </c>
      <c r="I229" s="1" t="s">
        <v>12</v>
      </c>
      <c r="J229" s="1" t="s">
        <v>40</v>
      </c>
      <c r="K229" s="1" t="s">
        <v>14</v>
      </c>
      <c r="L229" s="1" t="s">
        <v>12</v>
      </c>
      <c r="M229" s="1" t="s">
        <v>12</v>
      </c>
      <c r="N229" s="1">
        <v>27.12</v>
      </c>
      <c r="O229" s="1" t="s">
        <v>19</v>
      </c>
      <c r="P229" s="1">
        <v>10</v>
      </c>
      <c r="Q229" s="1" t="s">
        <v>16</v>
      </c>
      <c r="R229" s="1" t="str">
        <f>IF(N229="","",VLOOKUP(N229,Prior_levels,2,TRUE))</f>
        <v>M</v>
      </c>
    </row>
    <row r="230" spans="1:18" x14ac:dyDescent="0.2">
      <c r="A230" s="1" t="s">
        <v>63</v>
      </c>
      <c r="B230" s="1" t="s">
        <v>10</v>
      </c>
      <c r="C230" s="2">
        <v>41155</v>
      </c>
      <c r="D230" s="1">
        <v>10</v>
      </c>
      <c r="E230" s="1" t="s">
        <v>39</v>
      </c>
      <c r="I230" s="1" t="s">
        <v>12</v>
      </c>
      <c r="J230" s="1" t="s">
        <v>40</v>
      </c>
      <c r="K230" s="1" t="s">
        <v>14</v>
      </c>
      <c r="L230" s="1" t="s">
        <v>12</v>
      </c>
      <c r="M230" s="1" t="s">
        <v>12</v>
      </c>
      <c r="N230" s="1">
        <v>27.12</v>
      </c>
      <c r="O230" s="1" t="s">
        <v>20</v>
      </c>
      <c r="P230" s="1">
        <v>11</v>
      </c>
      <c r="Q230" s="1" t="s">
        <v>16</v>
      </c>
      <c r="R230" s="1" t="str">
        <f>IF(N230="","",VLOOKUP(N230,Prior_levels,2,TRUE))</f>
        <v>M</v>
      </c>
    </row>
    <row r="231" spans="1:18" x14ac:dyDescent="0.2">
      <c r="A231" s="1" t="s">
        <v>63</v>
      </c>
      <c r="B231" s="1" t="s">
        <v>10</v>
      </c>
      <c r="C231" s="2">
        <v>41155</v>
      </c>
      <c r="D231" s="1">
        <v>10</v>
      </c>
      <c r="E231" s="1" t="s">
        <v>39</v>
      </c>
      <c r="I231" s="1" t="s">
        <v>12</v>
      </c>
      <c r="J231" s="1" t="s">
        <v>40</v>
      </c>
      <c r="K231" s="1" t="s">
        <v>14</v>
      </c>
      <c r="L231" s="1" t="s">
        <v>12</v>
      </c>
      <c r="M231" s="1" t="s">
        <v>12</v>
      </c>
      <c r="N231" s="1">
        <v>27.12</v>
      </c>
      <c r="O231" s="1" t="s">
        <v>21</v>
      </c>
      <c r="P231" s="1">
        <v>11</v>
      </c>
      <c r="Q231" s="1" t="s">
        <v>16</v>
      </c>
      <c r="R231" s="1" t="str">
        <f>IF(N231="","",VLOOKUP(N231,Prior_levels,2,TRUE))</f>
        <v>M</v>
      </c>
    </row>
    <row r="232" spans="1:18" x14ac:dyDescent="0.2">
      <c r="A232" s="1" t="s">
        <v>63</v>
      </c>
      <c r="B232" s="1" t="s">
        <v>10</v>
      </c>
      <c r="C232" s="2">
        <v>41155</v>
      </c>
      <c r="D232" s="1">
        <v>10</v>
      </c>
      <c r="E232" s="1" t="s">
        <v>39</v>
      </c>
      <c r="I232" s="1" t="s">
        <v>12</v>
      </c>
      <c r="J232" s="1" t="s">
        <v>40</v>
      </c>
      <c r="K232" s="1" t="s">
        <v>14</v>
      </c>
      <c r="L232" s="1" t="s">
        <v>12</v>
      </c>
      <c r="M232" s="1" t="s">
        <v>12</v>
      </c>
      <c r="N232" s="1">
        <v>27.12</v>
      </c>
      <c r="O232" s="1" t="s">
        <v>22</v>
      </c>
      <c r="P232" s="1">
        <v>-1.05</v>
      </c>
      <c r="Q232" s="1" t="s">
        <v>16</v>
      </c>
      <c r="R232" s="1" t="str">
        <f>IF(N232="","",VLOOKUP(N232,Prior_levels,2,TRUE))</f>
        <v>M</v>
      </c>
    </row>
    <row r="233" spans="1:18" x14ac:dyDescent="0.2">
      <c r="A233" s="1" t="s">
        <v>63</v>
      </c>
      <c r="B233" s="1" t="s">
        <v>10</v>
      </c>
      <c r="C233" s="2">
        <v>41155</v>
      </c>
      <c r="D233" s="1">
        <v>10</v>
      </c>
      <c r="E233" s="1" t="s">
        <v>39</v>
      </c>
      <c r="I233" s="1" t="s">
        <v>12</v>
      </c>
      <c r="J233" s="1" t="s">
        <v>40</v>
      </c>
      <c r="K233" s="1" t="s">
        <v>14</v>
      </c>
      <c r="L233" s="1" t="s">
        <v>12</v>
      </c>
      <c r="M233" s="1" t="s">
        <v>12</v>
      </c>
      <c r="N233" s="1">
        <v>27.12</v>
      </c>
      <c r="O233" s="1" t="s">
        <v>23</v>
      </c>
      <c r="P233" s="1">
        <v>0.36</v>
      </c>
      <c r="Q233" s="1" t="s">
        <v>16</v>
      </c>
      <c r="R233" s="1" t="str">
        <f>IF(N233="","",VLOOKUP(N233,Prior_levels,2,TRUE))</f>
        <v>M</v>
      </c>
    </row>
    <row r="234" spans="1:18" x14ac:dyDescent="0.2">
      <c r="A234" s="1" t="s">
        <v>63</v>
      </c>
      <c r="B234" s="1" t="s">
        <v>10</v>
      </c>
      <c r="C234" s="2">
        <v>41155</v>
      </c>
      <c r="D234" s="1">
        <v>10</v>
      </c>
      <c r="E234" s="1" t="s">
        <v>39</v>
      </c>
      <c r="I234" s="1" t="s">
        <v>12</v>
      </c>
      <c r="J234" s="1" t="s">
        <v>40</v>
      </c>
      <c r="K234" s="1" t="s">
        <v>14</v>
      </c>
      <c r="L234" s="1" t="s">
        <v>12</v>
      </c>
      <c r="M234" s="1" t="s">
        <v>12</v>
      </c>
      <c r="N234" s="1">
        <v>27.12</v>
      </c>
      <c r="O234" s="1" t="s">
        <v>24</v>
      </c>
      <c r="P234" s="1">
        <v>-0.25</v>
      </c>
      <c r="Q234" s="1" t="s">
        <v>16</v>
      </c>
      <c r="R234" s="1" t="str">
        <f>IF(N234="","",VLOOKUP(N234,Prior_levels,2,TRUE))</f>
        <v>M</v>
      </c>
    </row>
    <row r="235" spans="1:18" x14ac:dyDescent="0.2">
      <c r="A235" s="1" t="s">
        <v>63</v>
      </c>
      <c r="B235" s="1" t="s">
        <v>10</v>
      </c>
      <c r="C235" s="2">
        <v>41155</v>
      </c>
      <c r="D235" s="1">
        <v>10</v>
      </c>
      <c r="E235" s="1" t="s">
        <v>39</v>
      </c>
      <c r="I235" s="1" t="s">
        <v>12</v>
      </c>
      <c r="J235" s="1" t="s">
        <v>40</v>
      </c>
      <c r="K235" s="1" t="s">
        <v>14</v>
      </c>
      <c r="L235" s="1" t="s">
        <v>12</v>
      </c>
      <c r="M235" s="1" t="s">
        <v>12</v>
      </c>
      <c r="N235" s="1">
        <v>27.12</v>
      </c>
      <c r="O235" s="1" t="s">
        <v>25</v>
      </c>
      <c r="P235" s="1">
        <v>-3.89</v>
      </c>
      <c r="Q235" s="1" t="s">
        <v>16</v>
      </c>
      <c r="R235" s="1" t="str">
        <f>IF(N235="","",VLOOKUP(N235,Prior_levels,2,TRUE))</f>
        <v>M</v>
      </c>
    </row>
    <row r="236" spans="1:18" x14ac:dyDescent="0.2">
      <c r="A236" s="1" t="s">
        <v>63</v>
      </c>
      <c r="B236" s="1" t="s">
        <v>10</v>
      </c>
      <c r="C236" s="2">
        <v>41155</v>
      </c>
      <c r="D236" s="1">
        <v>10</v>
      </c>
      <c r="E236" s="1" t="s">
        <v>39</v>
      </c>
      <c r="I236" s="1" t="s">
        <v>12</v>
      </c>
      <c r="J236" s="1" t="s">
        <v>40</v>
      </c>
      <c r="K236" s="1" t="s">
        <v>14</v>
      </c>
      <c r="L236" s="1" t="s">
        <v>12</v>
      </c>
      <c r="M236" s="1" t="s">
        <v>12</v>
      </c>
      <c r="N236" s="1">
        <v>27.12</v>
      </c>
      <c r="O236" s="1" t="s">
        <v>26</v>
      </c>
      <c r="P236" s="1">
        <v>4</v>
      </c>
      <c r="Q236" s="1" t="s">
        <v>16</v>
      </c>
      <c r="R236" s="1" t="str">
        <f>IF(N236="","",VLOOKUP(N236,Prior_levels,2,TRUE))</f>
        <v>M</v>
      </c>
    </row>
    <row r="237" spans="1:18" x14ac:dyDescent="0.2">
      <c r="A237" s="1" t="s">
        <v>63</v>
      </c>
      <c r="B237" s="1" t="s">
        <v>10</v>
      </c>
      <c r="C237" s="2">
        <v>41155</v>
      </c>
      <c r="D237" s="1">
        <v>10</v>
      </c>
      <c r="E237" s="1" t="s">
        <v>39</v>
      </c>
      <c r="I237" s="1" t="s">
        <v>12</v>
      </c>
      <c r="J237" s="1" t="s">
        <v>40</v>
      </c>
      <c r="K237" s="1" t="s">
        <v>14</v>
      </c>
      <c r="L237" s="1" t="s">
        <v>12</v>
      </c>
      <c r="M237" s="1" t="s">
        <v>12</v>
      </c>
      <c r="N237" s="1">
        <v>27.12</v>
      </c>
      <c r="O237" s="1" t="s">
        <v>27</v>
      </c>
      <c r="P237" s="1" t="s">
        <v>37</v>
      </c>
      <c r="Q237" s="1" t="s">
        <v>16</v>
      </c>
      <c r="R237" s="1" t="str">
        <f>IF(N237="","",VLOOKUP(N237,Prior_levels,2,TRUE))</f>
        <v>M</v>
      </c>
    </row>
    <row r="238" spans="1:18" x14ac:dyDescent="0.2">
      <c r="A238" s="1" t="s">
        <v>63</v>
      </c>
      <c r="B238" s="1" t="s">
        <v>10</v>
      </c>
      <c r="C238" s="2">
        <v>41155</v>
      </c>
      <c r="D238" s="1">
        <v>10</v>
      </c>
      <c r="E238" s="1" t="s">
        <v>39</v>
      </c>
      <c r="I238" s="1" t="s">
        <v>12</v>
      </c>
      <c r="J238" s="1" t="s">
        <v>40</v>
      </c>
      <c r="K238" s="1" t="s">
        <v>14</v>
      </c>
      <c r="L238" s="1" t="s">
        <v>12</v>
      </c>
      <c r="M238" s="1" t="s">
        <v>12</v>
      </c>
      <c r="N238" s="1">
        <v>27.12</v>
      </c>
      <c r="O238" s="1" t="s">
        <v>29</v>
      </c>
      <c r="P238" s="1" t="s">
        <v>28</v>
      </c>
      <c r="Q238" s="1" t="s">
        <v>16</v>
      </c>
      <c r="R238" s="1" t="str">
        <f>IF(N238="","",VLOOKUP(N238,Prior_levels,2,TRUE))</f>
        <v>M</v>
      </c>
    </row>
    <row r="239" spans="1:18" x14ac:dyDescent="0.2">
      <c r="A239" s="1" t="s">
        <v>63</v>
      </c>
      <c r="B239" s="1" t="s">
        <v>10</v>
      </c>
      <c r="C239" s="2">
        <v>41155</v>
      </c>
      <c r="D239" s="1">
        <v>10</v>
      </c>
      <c r="E239" s="1" t="s">
        <v>39</v>
      </c>
      <c r="I239" s="1" t="s">
        <v>12</v>
      </c>
      <c r="J239" s="1" t="s">
        <v>40</v>
      </c>
      <c r="K239" s="1" t="s">
        <v>14</v>
      </c>
      <c r="L239" s="1" t="s">
        <v>12</v>
      </c>
      <c r="M239" s="1" t="s">
        <v>12</v>
      </c>
      <c r="N239" s="1">
        <v>27.12</v>
      </c>
      <c r="O239" s="1" t="s">
        <v>30</v>
      </c>
      <c r="P239" s="1" t="s">
        <v>28</v>
      </c>
      <c r="Q239" s="1" t="s">
        <v>16</v>
      </c>
      <c r="R239" s="1" t="str">
        <f>IF(N239="","",VLOOKUP(N239,Prior_levels,2,TRUE))</f>
        <v>M</v>
      </c>
    </row>
    <row r="240" spans="1:18" x14ac:dyDescent="0.2">
      <c r="A240" s="1" t="s">
        <v>63</v>
      </c>
      <c r="B240" s="1" t="s">
        <v>10</v>
      </c>
      <c r="C240" s="2">
        <v>41155</v>
      </c>
      <c r="D240" s="1">
        <v>10</v>
      </c>
      <c r="E240" s="1" t="s">
        <v>39</v>
      </c>
      <c r="I240" s="1" t="s">
        <v>12</v>
      </c>
      <c r="J240" s="1" t="s">
        <v>40</v>
      </c>
      <c r="K240" s="1" t="s">
        <v>14</v>
      </c>
      <c r="L240" s="1" t="s">
        <v>12</v>
      </c>
      <c r="M240" s="1" t="s">
        <v>12</v>
      </c>
      <c r="N240" s="1">
        <v>27.12</v>
      </c>
      <c r="O240" s="1" t="s">
        <v>31</v>
      </c>
      <c r="P240" s="1" t="s">
        <v>28</v>
      </c>
      <c r="Q240" s="1" t="s">
        <v>16</v>
      </c>
      <c r="R240" s="1" t="str">
        <f>IF(N240="","",VLOOKUP(N240,Prior_levels,2,TRUE))</f>
        <v>M</v>
      </c>
    </row>
    <row r="241" spans="1:18" x14ac:dyDescent="0.2">
      <c r="A241" s="1" t="s">
        <v>63</v>
      </c>
      <c r="B241" s="1" t="s">
        <v>10</v>
      </c>
      <c r="C241" s="2">
        <v>41155</v>
      </c>
      <c r="D241" s="1">
        <v>10</v>
      </c>
      <c r="E241" s="1" t="s">
        <v>39</v>
      </c>
      <c r="I241" s="1" t="s">
        <v>12</v>
      </c>
      <c r="J241" s="1" t="s">
        <v>40</v>
      </c>
      <c r="K241" s="1" t="s">
        <v>14</v>
      </c>
      <c r="L241" s="1" t="s">
        <v>12</v>
      </c>
      <c r="M241" s="1" t="s">
        <v>12</v>
      </c>
      <c r="N241" s="1">
        <v>27.12</v>
      </c>
      <c r="O241" s="1" t="s">
        <v>32</v>
      </c>
      <c r="P241" s="1" t="s">
        <v>28</v>
      </c>
      <c r="Q241" s="1" t="s">
        <v>16</v>
      </c>
      <c r="R241" s="1" t="str">
        <f>IF(N241="","",VLOOKUP(N241,Prior_levels,2,TRUE))</f>
        <v>M</v>
      </c>
    </row>
    <row r="242" spans="1:18" x14ac:dyDescent="0.2">
      <c r="A242" s="1" t="s">
        <v>64</v>
      </c>
      <c r="B242" s="1" t="s">
        <v>10</v>
      </c>
      <c r="C242" s="2">
        <v>41155</v>
      </c>
      <c r="D242" s="1">
        <v>10</v>
      </c>
      <c r="E242" s="1" t="s">
        <v>34</v>
      </c>
      <c r="I242" s="1" t="s">
        <v>12</v>
      </c>
      <c r="J242" s="1" t="s">
        <v>36</v>
      </c>
      <c r="K242" s="1" t="s">
        <v>14</v>
      </c>
      <c r="L242" s="1" t="s">
        <v>35</v>
      </c>
      <c r="M242" s="1" t="s">
        <v>35</v>
      </c>
      <c r="N242" s="1">
        <v>27.12</v>
      </c>
      <c r="O242" s="1" t="s">
        <v>15</v>
      </c>
      <c r="P242" s="1">
        <v>2.6</v>
      </c>
      <c r="Q242" s="1" t="s">
        <v>16</v>
      </c>
      <c r="R242" s="1" t="str">
        <f>IF(N242="","",VLOOKUP(N242,Prior_levels,2,TRUE))</f>
        <v>M</v>
      </c>
    </row>
    <row r="243" spans="1:18" x14ac:dyDescent="0.2">
      <c r="A243" s="1" t="s">
        <v>64</v>
      </c>
      <c r="B243" s="1" t="s">
        <v>10</v>
      </c>
      <c r="C243" s="2">
        <v>41155</v>
      </c>
      <c r="D243" s="1">
        <v>10</v>
      </c>
      <c r="E243" s="1" t="s">
        <v>34</v>
      </c>
      <c r="I243" s="1" t="s">
        <v>12</v>
      </c>
      <c r="J243" s="1" t="s">
        <v>36</v>
      </c>
      <c r="K243" s="1" t="s">
        <v>14</v>
      </c>
      <c r="L243" s="1" t="s">
        <v>35</v>
      </c>
      <c r="M243" s="1" t="s">
        <v>35</v>
      </c>
      <c r="N243" s="1">
        <v>27.12</v>
      </c>
      <c r="O243" s="1" t="s">
        <v>17</v>
      </c>
      <c r="P243" s="1">
        <v>-1.95</v>
      </c>
      <c r="Q243" s="1" t="s">
        <v>16</v>
      </c>
      <c r="R243" s="1" t="str">
        <f>IF(N243="","",VLOOKUP(N243,Prior_levels,2,TRUE))</f>
        <v>M</v>
      </c>
    </row>
    <row r="244" spans="1:18" x14ac:dyDescent="0.2">
      <c r="A244" s="1" t="s">
        <v>64</v>
      </c>
      <c r="B244" s="1" t="s">
        <v>10</v>
      </c>
      <c r="C244" s="2">
        <v>41155</v>
      </c>
      <c r="D244" s="1">
        <v>10</v>
      </c>
      <c r="E244" s="1" t="s">
        <v>34</v>
      </c>
      <c r="I244" s="1" t="s">
        <v>12</v>
      </c>
      <c r="J244" s="1" t="s">
        <v>36</v>
      </c>
      <c r="K244" s="1" t="s">
        <v>14</v>
      </c>
      <c r="L244" s="1" t="s">
        <v>35</v>
      </c>
      <c r="M244" s="1" t="s">
        <v>35</v>
      </c>
      <c r="N244" s="1">
        <v>27.12</v>
      </c>
      <c r="O244" s="1" t="s">
        <v>18</v>
      </c>
      <c r="P244" s="1">
        <v>10</v>
      </c>
      <c r="Q244" s="1" t="s">
        <v>16</v>
      </c>
      <c r="R244" s="1" t="str">
        <f>IF(N244="","",VLOOKUP(N244,Prior_levels,2,TRUE))</f>
        <v>M</v>
      </c>
    </row>
    <row r="245" spans="1:18" x14ac:dyDescent="0.2">
      <c r="A245" s="1" t="s">
        <v>64</v>
      </c>
      <c r="B245" s="1" t="s">
        <v>10</v>
      </c>
      <c r="C245" s="2">
        <v>41155</v>
      </c>
      <c r="D245" s="1">
        <v>10</v>
      </c>
      <c r="E245" s="1" t="s">
        <v>34</v>
      </c>
      <c r="I245" s="1" t="s">
        <v>12</v>
      </c>
      <c r="J245" s="1" t="s">
        <v>36</v>
      </c>
      <c r="K245" s="1" t="s">
        <v>14</v>
      </c>
      <c r="L245" s="1" t="s">
        <v>35</v>
      </c>
      <c r="M245" s="1" t="s">
        <v>35</v>
      </c>
      <c r="N245" s="1">
        <v>27.12</v>
      </c>
      <c r="O245" s="1" t="s">
        <v>19</v>
      </c>
      <c r="P245" s="1">
        <v>8</v>
      </c>
      <c r="Q245" s="1" t="s">
        <v>16</v>
      </c>
      <c r="R245" s="1" t="str">
        <f>IF(N245="","",VLOOKUP(N245,Prior_levels,2,TRUE))</f>
        <v>M</v>
      </c>
    </row>
    <row r="246" spans="1:18" x14ac:dyDescent="0.2">
      <c r="A246" s="1" t="s">
        <v>64</v>
      </c>
      <c r="B246" s="1" t="s">
        <v>10</v>
      </c>
      <c r="C246" s="2">
        <v>41155</v>
      </c>
      <c r="D246" s="1">
        <v>10</v>
      </c>
      <c r="E246" s="1" t="s">
        <v>34</v>
      </c>
      <c r="I246" s="1" t="s">
        <v>12</v>
      </c>
      <c r="J246" s="1" t="s">
        <v>36</v>
      </c>
      <c r="K246" s="1" t="s">
        <v>14</v>
      </c>
      <c r="L246" s="1" t="s">
        <v>35</v>
      </c>
      <c r="M246" s="1" t="s">
        <v>35</v>
      </c>
      <c r="N246" s="1">
        <v>27.12</v>
      </c>
      <c r="O246" s="1" t="s">
        <v>20</v>
      </c>
      <c r="P246" s="1">
        <v>3</v>
      </c>
      <c r="Q246" s="1" t="s">
        <v>16</v>
      </c>
      <c r="R246" s="1" t="str">
        <f>IF(N246="","",VLOOKUP(N246,Prior_levels,2,TRUE))</f>
        <v>M</v>
      </c>
    </row>
    <row r="247" spans="1:18" x14ac:dyDescent="0.2">
      <c r="A247" s="1" t="s">
        <v>64</v>
      </c>
      <c r="B247" s="1" t="s">
        <v>10</v>
      </c>
      <c r="C247" s="2">
        <v>41155</v>
      </c>
      <c r="D247" s="1">
        <v>10</v>
      </c>
      <c r="E247" s="1" t="s">
        <v>34</v>
      </c>
      <c r="I247" s="1" t="s">
        <v>12</v>
      </c>
      <c r="J247" s="1" t="s">
        <v>36</v>
      </c>
      <c r="K247" s="1" t="s">
        <v>14</v>
      </c>
      <c r="L247" s="1" t="s">
        <v>35</v>
      </c>
      <c r="M247" s="1" t="s">
        <v>35</v>
      </c>
      <c r="N247" s="1">
        <v>27.12</v>
      </c>
      <c r="O247" s="1" t="s">
        <v>21</v>
      </c>
      <c r="P247" s="1">
        <v>5</v>
      </c>
      <c r="Q247" s="1" t="s">
        <v>16</v>
      </c>
      <c r="R247" s="1" t="str">
        <f>IF(N247="","",VLOOKUP(N247,Prior_levels,2,TRUE))</f>
        <v>M</v>
      </c>
    </row>
    <row r="248" spans="1:18" x14ac:dyDescent="0.2">
      <c r="A248" s="1" t="s">
        <v>64</v>
      </c>
      <c r="B248" s="1" t="s">
        <v>10</v>
      </c>
      <c r="C248" s="2">
        <v>41155</v>
      </c>
      <c r="D248" s="1">
        <v>10</v>
      </c>
      <c r="E248" s="1" t="s">
        <v>34</v>
      </c>
      <c r="I248" s="1" t="s">
        <v>12</v>
      </c>
      <c r="J248" s="1" t="s">
        <v>36</v>
      </c>
      <c r="K248" s="1" t="s">
        <v>14</v>
      </c>
      <c r="L248" s="1" t="s">
        <v>35</v>
      </c>
      <c r="M248" s="1" t="s">
        <v>35</v>
      </c>
      <c r="N248" s="1">
        <v>27.12</v>
      </c>
      <c r="O248" s="1" t="s">
        <v>22</v>
      </c>
      <c r="P248" s="1">
        <v>-0.05</v>
      </c>
      <c r="Q248" s="1" t="s">
        <v>16</v>
      </c>
      <c r="R248" s="1" t="str">
        <f>IF(N248="","",VLOOKUP(N248,Prior_levels,2,TRUE))</f>
        <v>M</v>
      </c>
    </row>
    <row r="249" spans="1:18" x14ac:dyDescent="0.2">
      <c r="A249" s="1" t="s">
        <v>64</v>
      </c>
      <c r="B249" s="1" t="s">
        <v>10</v>
      </c>
      <c r="C249" s="2">
        <v>41155</v>
      </c>
      <c r="D249" s="1">
        <v>10</v>
      </c>
      <c r="E249" s="1" t="s">
        <v>34</v>
      </c>
      <c r="I249" s="1" t="s">
        <v>12</v>
      </c>
      <c r="J249" s="1" t="s">
        <v>36</v>
      </c>
      <c r="K249" s="1" t="s">
        <v>14</v>
      </c>
      <c r="L249" s="1" t="s">
        <v>35</v>
      </c>
      <c r="M249" s="1" t="s">
        <v>35</v>
      </c>
      <c r="N249" s="1">
        <v>27.12</v>
      </c>
      <c r="O249" s="1" t="s">
        <v>23</v>
      </c>
      <c r="P249" s="1">
        <v>-0.64</v>
      </c>
      <c r="Q249" s="1" t="s">
        <v>16</v>
      </c>
      <c r="R249" s="1" t="str">
        <f>IF(N249="","",VLOOKUP(N249,Prior_levels,2,TRUE))</f>
        <v>M</v>
      </c>
    </row>
    <row r="250" spans="1:18" x14ac:dyDescent="0.2">
      <c r="A250" s="1" t="s">
        <v>64</v>
      </c>
      <c r="B250" s="1" t="s">
        <v>10</v>
      </c>
      <c r="C250" s="2">
        <v>41155</v>
      </c>
      <c r="D250" s="1">
        <v>10</v>
      </c>
      <c r="E250" s="1" t="s">
        <v>34</v>
      </c>
      <c r="I250" s="1" t="s">
        <v>12</v>
      </c>
      <c r="J250" s="1" t="s">
        <v>36</v>
      </c>
      <c r="K250" s="1" t="s">
        <v>14</v>
      </c>
      <c r="L250" s="1" t="s">
        <v>35</v>
      </c>
      <c r="M250" s="1" t="s">
        <v>35</v>
      </c>
      <c r="N250" s="1">
        <v>27.12</v>
      </c>
      <c r="O250" s="1" t="s">
        <v>25</v>
      </c>
      <c r="P250" s="1">
        <v>-9.89</v>
      </c>
      <c r="Q250" s="1" t="s">
        <v>16</v>
      </c>
      <c r="R250" s="1" t="str">
        <f>IF(N250="","",VLOOKUP(N250,Prior_levels,2,TRUE))</f>
        <v>M</v>
      </c>
    </row>
    <row r="251" spans="1:18" x14ac:dyDescent="0.2">
      <c r="A251" s="1" t="s">
        <v>64</v>
      </c>
      <c r="B251" s="1" t="s">
        <v>10</v>
      </c>
      <c r="C251" s="2">
        <v>41155</v>
      </c>
      <c r="D251" s="1">
        <v>10</v>
      </c>
      <c r="E251" s="1" t="s">
        <v>34</v>
      </c>
      <c r="I251" s="1" t="s">
        <v>12</v>
      </c>
      <c r="J251" s="1" t="s">
        <v>36</v>
      </c>
      <c r="K251" s="1" t="s">
        <v>14</v>
      </c>
      <c r="L251" s="1" t="s">
        <v>35</v>
      </c>
      <c r="M251" s="1" t="s">
        <v>35</v>
      </c>
      <c r="N251" s="1">
        <v>27.12</v>
      </c>
      <c r="O251" s="1" t="s">
        <v>26</v>
      </c>
      <c r="P251" s="1">
        <v>2</v>
      </c>
      <c r="Q251" s="1" t="s">
        <v>16</v>
      </c>
      <c r="R251" s="1" t="str">
        <f>IF(N251="","",VLOOKUP(N251,Prior_levels,2,TRUE))</f>
        <v>M</v>
      </c>
    </row>
    <row r="252" spans="1:18" x14ac:dyDescent="0.2">
      <c r="A252" s="1" t="s">
        <v>64</v>
      </c>
      <c r="B252" s="1" t="s">
        <v>10</v>
      </c>
      <c r="C252" s="2">
        <v>41155</v>
      </c>
      <c r="D252" s="1">
        <v>10</v>
      </c>
      <c r="E252" s="1" t="s">
        <v>34</v>
      </c>
      <c r="I252" s="1" t="s">
        <v>12</v>
      </c>
      <c r="J252" s="1" t="s">
        <v>36</v>
      </c>
      <c r="K252" s="1" t="s">
        <v>14</v>
      </c>
      <c r="L252" s="1" t="s">
        <v>35</v>
      </c>
      <c r="M252" s="1" t="s">
        <v>35</v>
      </c>
      <c r="N252" s="1">
        <v>27.12</v>
      </c>
      <c r="O252" s="1" t="s">
        <v>24</v>
      </c>
      <c r="P252" s="1">
        <v>-8.25</v>
      </c>
      <c r="Q252" s="1" t="s">
        <v>16</v>
      </c>
      <c r="R252" s="1" t="str">
        <f>IF(N252="","",VLOOKUP(N252,Prior_levels,2,TRUE))</f>
        <v>M</v>
      </c>
    </row>
    <row r="253" spans="1:18" x14ac:dyDescent="0.2">
      <c r="A253" s="1" t="s">
        <v>64</v>
      </c>
      <c r="B253" s="1" t="s">
        <v>10</v>
      </c>
      <c r="C253" s="2">
        <v>41155</v>
      </c>
      <c r="D253" s="1">
        <v>10</v>
      </c>
      <c r="E253" s="1" t="s">
        <v>34</v>
      </c>
      <c r="I253" s="1" t="s">
        <v>12</v>
      </c>
      <c r="J253" s="1" t="s">
        <v>36</v>
      </c>
      <c r="K253" s="1" t="s">
        <v>14</v>
      </c>
      <c r="L253" s="1" t="s">
        <v>35</v>
      </c>
      <c r="M253" s="1" t="s">
        <v>35</v>
      </c>
      <c r="N253" s="1">
        <v>27.12</v>
      </c>
      <c r="O253" s="1" t="s">
        <v>32</v>
      </c>
      <c r="P253" s="1" t="s">
        <v>28</v>
      </c>
      <c r="Q253" s="1" t="s">
        <v>16</v>
      </c>
      <c r="R253" s="1" t="str">
        <f>IF(N253="","",VLOOKUP(N253,Prior_levels,2,TRUE))</f>
        <v>M</v>
      </c>
    </row>
    <row r="254" spans="1:18" x14ac:dyDescent="0.2">
      <c r="A254" s="1" t="s">
        <v>64</v>
      </c>
      <c r="B254" s="1" t="s">
        <v>10</v>
      </c>
      <c r="C254" s="2">
        <v>41155</v>
      </c>
      <c r="D254" s="1">
        <v>10</v>
      </c>
      <c r="E254" s="1" t="s">
        <v>34</v>
      </c>
      <c r="I254" s="1" t="s">
        <v>12</v>
      </c>
      <c r="J254" s="1" t="s">
        <v>36</v>
      </c>
      <c r="K254" s="1" t="s">
        <v>14</v>
      </c>
      <c r="L254" s="1" t="s">
        <v>35</v>
      </c>
      <c r="M254" s="1" t="s">
        <v>35</v>
      </c>
      <c r="N254" s="1">
        <v>27.12</v>
      </c>
      <c r="O254" s="1" t="s">
        <v>27</v>
      </c>
      <c r="P254" s="1" t="s">
        <v>28</v>
      </c>
      <c r="Q254" s="1" t="s">
        <v>16</v>
      </c>
      <c r="R254" s="1" t="str">
        <f>IF(N254="","",VLOOKUP(N254,Prior_levels,2,TRUE))</f>
        <v>M</v>
      </c>
    </row>
    <row r="255" spans="1:18" x14ac:dyDescent="0.2">
      <c r="A255" s="1" t="s">
        <v>64</v>
      </c>
      <c r="B255" s="1" t="s">
        <v>10</v>
      </c>
      <c r="C255" s="2">
        <v>41155</v>
      </c>
      <c r="D255" s="1">
        <v>10</v>
      </c>
      <c r="E255" s="1" t="s">
        <v>34</v>
      </c>
      <c r="I255" s="1" t="s">
        <v>12</v>
      </c>
      <c r="J255" s="1" t="s">
        <v>36</v>
      </c>
      <c r="K255" s="1" t="s">
        <v>14</v>
      </c>
      <c r="L255" s="1" t="s">
        <v>35</v>
      </c>
      <c r="M255" s="1" t="s">
        <v>35</v>
      </c>
      <c r="N255" s="1">
        <v>27.12</v>
      </c>
      <c r="O255" s="1" t="s">
        <v>29</v>
      </c>
      <c r="P255" s="1" t="s">
        <v>37</v>
      </c>
      <c r="Q255" s="1" t="s">
        <v>16</v>
      </c>
      <c r="R255" s="1" t="str">
        <f>IF(N255="","",VLOOKUP(N255,Prior_levels,2,TRUE))</f>
        <v>M</v>
      </c>
    </row>
    <row r="256" spans="1:18" x14ac:dyDescent="0.2">
      <c r="A256" s="1" t="s">
        <v>64</v>
      </c>
      <c r="B256" s="1" t="s">
        <v>10</v>
      </c>
      <c r="C256" s="2">
        <v>41155</v>
      </c>
      <c r="D256" s="1">
        <v>10</v>
      </c>
      <c r="E256" s="1" t="s">
        <v>34</v>
      </c>
      <c r="I256" s="1" t="s">
        <v>12</v>
      </c>
      <c r="J256" s="1" t="s">
        <v>36</v>
      </c>
      <c r="K256" s="1" t="s">
        <v>14</v>
      </c>
      <c r="L256" s="1" t="s">
        <v>35</v>
      </c>
      <c r="M256" s="1" t="s">
        <v>35</v>
      </c>
      <c r="N256" s="1">
        <v>27.12</v>
      </c>
      <c r="O256" s="1" t="s">
        <v>30</v>
      </c>
      <c r="P256" s="1" t="s">
        <v>28</v>
      </c>
      <c r="Q256" s="1" t="s">
        <v>16</v>
      </c>
      <c r="R256" s="1" t="str">
        <f>IF(N256="","",VLOOKUP(N256,Prior_levels,2,TRUE))</f>
        <v>M</v>
      </c>
    </row>
    <row r="257" spans="1:18" x14ac:dyDescent="0.2">
      <c r="A257" s="1" t="s">
        <v>64</v>
      </c>
      <c r="B257" s="1" t="s">
        <v>10</v>
      </c>
      <c r="C257" s="2">
        <v>41155</v>
      </c>
      <c r="D257" s="1">
        <v>10</v>
      </c>
      <c r="E257" s="1" t="s">
        <v>34</v>
      </c>
      <c r="I257" s="1" t="s">
        <v>12</v>
      </c>
      <c r="J257" s="1" t="s">
        <v>36</v>
      </c>
      <c r="K257" s="1" t="s">
        <v>14</v>
      </c>
      <c r="L257" s="1" t="s">
        <v>35</v>
      </c>
      <c r="M257" s="1" t="s">
        <v>35</v>
      </c>
      <c r="N257" s="1">
        <v>27.12</v>
      </c>
      <c r="O257" s="1" t="s">
        <v>31</v>
      </c>
      <c r="P257" s="1" t="s">
        <v>28</v>
      </c>
      <c r="Q257" s="1" t="s">
        <v>16</v>
      </c>
      <c r="R257" s="1" t="str">
        <f>IF(N257="","",VLOOKUP(N257,Prior_levels,2,TRUE))</f>
        <v>M</v>
      </c>
    </row>
    <row r="258" spans="1:18" x14ac:dyDescent="0.2">
      <c r="A258" s="1" t="s">
        <v>65</v>
      </c>
      <c r="B258" s="1" t="s">
        <v>10</v>
      </c>
      <c r="C258" s="2">
        <v>41155</v>
      </c>
      <c r="D258" s="1">
        <v>10</v>
      </c>
      <c r="E258" s="1" t="s">
        <v>39</v>
      </c>
      <c r="F258" s="1" t="s">
        <v>28</v>
      </c>
      <c r="H258" s="1" t="s">
        <v>48</v>
      </c>
      <c r="I258" s="1" t="s">
        <v>12</v>
      </c>
      <c r="J258" s="1" t="s">
        <v>66</v>
      </c>
      <c r="K258" s="1" t="s">
        <v>67</v>
      </c>
      <c r="L258" s="1" t="s">
        <v>35</v>
      </c>
      <c r="M258" s="1" t="s">
        <v>35</v>
      </c>
      <c r="N258" s="1">
        <v>30.18</v>
      </c>
      <c r="O258" s="1" t="s">
        <v>15</v>
      </c>
      <c r="P258" s="1">
        <v>4.6500000000000004</v>
      </c>
      <c r="Q258" s="1" t="s">
        <v>16</v>
      </c>
      <c r="R258" s="1" t="str">
        <f>IF(N258="","",VLOOKUP(N258,Prior_levels,2,TRUE))</f>
        <v>H</v>
      </c>
    </row>
    <row r="259" spans="1:18" x14ac:dyDescent="0.2">
      <c r="A259" s="1" t="s">
        <v>65</v>
      </c>
      <c r="B259" s="1" t="s">
        <v>10</v>
      </c>
      <c r="C259" s="2">
        <v>41155</v>
      </c>
      <c r="D259" s="1">
        <v>10</v>
      </c>
      <c r="E259" s="1" t="s">
        <v>39</v>
      </c>
      <c r="F259" s="1" t="s">
        <v>28</v>
      </c>
      <c r="H259" s="1" t="s">
        <v>48</v>
      </c>
      <c r="I259" s="1" t="s">
        <v>12</v>
      </c>
      <c r="J259" s="1" t="s">
        <v>66</v>
      </c>
      <c r="K259" s="1" t="s">
        <v>67</v>
      </c>
      <c r="L259" s="1" t="s">
        <v>35</v>
      </c>
      <c r="M259" s="1" t="s">
        <v>35</v>
      </c>
      <c r="N259" s="1">
        <v>30.18</v>
      </c>
      <c r="O259" s="1" t="s">
        <v>17</v>
      </c>
      <c r="P259" s="1">
        <v>-0.94</v>
      </c>
      <c r="Q259" s="1" t="s">
        <v>16</v>
      </c>
      <c r="R259" s="1" t="str">
        <f>IF(N259="","",VLOOKUP(N259,Prior_levels,2,TRUE))</f>
        <v>H</v>
      </c>
    </row>
    <row r="260" spans="1:18" x14ac:dyDescent="0.2">
      <c r="A260" s="1" t="s">
        <v>65</v>
      </c>
      <c r="B260" s="1" t="s">
        <v>10</v>
      </c>
      <c r="C260" s="2">
        <v>41155</v>
      </c>
      <c r="D260" s="1">
        <v>10</v>
      </c>
      <c r="E260" s="1" t="s">
        <v>39</v>
      </c>
      <c r="F260" s="1" t="s">
        <v>28</v>
      </c>
      <c r="H260" s="1" t="s">
        <v>48</v>
      </c>
      <c r="I260" s="1" t="s">
        <v>12</v>
      </c>
      <c r="J260" s="1" t="s">
        <v>66</v>
      </c>
      <c r="K260" s="1" t="s">
        <v>67</v>
      </c>
      <c r="L260" s="1" t="s">
        <v>35</v>
      </c>
      <c r="M260" s="1" t="s">
        <v>35</v>
      </c>
      <c r="N260" s="1">
        <v>30.18</v>
      </c>
      <c r="O260" s="1" t="s">
        <v>18</v>
      </c>
      <c r="P260" s="1">
        <v>8</v>
      </c>
      <c r="Q260" s="1" t="s">
        <v>16</v>
      </c>
      <c r="R260" s="1" t="str">
        <f>IF(N260="","",VLOOKUP(N260,Prior_levels,2,TRUE))</f>
        <v>H</v>
      </c>
    </row>
    <row r="261" spans="1:18" x14ac:dyDescent="0.2">
      <c r="A261" s="1" t="s">
        <v>65</v>
      </c>
      <c r="B261" s="1" t="s">
        <v>10</v>
      </c>
      <c r="C261" s="2">
        <v>41155</v>
      </c>
      <c r="D261" s="1">
        <v>10</v>
      </c>
      <c r="E261" s="1" t="s">
        <v>39</v>
      </c>
      <c r="F261" s="1" t="s">
        <v>28</v>
      </c>
      <c r="H261" s="1" t="s">
        <v>48</v>
      </c>
      <c r="I261" s="1" t="s">
        <v>12</v>
      </c>
      <c r="J261" s="1" t="s">
        <v>66</v>
      </c>
      <c r="K261" s="1" t="s">
        <v>67</v>
      </c>
      <c r="L261" s="1" t="s">
        <v>35</v>
      </c>
      <c r="M261" s="1" t="s">
        <v>35</v>
      </c>
      <c r="N261" s="1">
        <v>30.18</v>
      </c>
      <c r="O261" s="1" t="s">
        <v>19</v>
      </c>
      <c r="P261" s="1">
        <v>12</v>
      </c>
      <c r="Q261" s="1" t="s">
        <v>16</v>
      </c>
      <c r="R261" s="1" t="str">
        <f>IF(N261="","",VLOOKUP(N261,Prior_levels,2,TRUE))</f>
        <v>H</v>
      </c>
    </row>
    <row r="262" spans="1:18" x14ac:dyDescent="0.2">
      <c r="A262" s="1" t="s">
        <v>65</v>
      </c>
      <c r="B262" s="1" t="s">
        <v>10</v>
      </c>
      <c r="C262" s="2">
        <v>41155</v>
      </c>
      <c r="D262" s="1">
        <v>10</v>
      </c>
      <c r="E262" s="1" t="s">
        <v>39</v>
      </c>
      <c r="F262" s="1" t="s">
        <v>28</v>
      </c>
      <c r="H262" s="1" t="s">
        <v>48</v>
      </c>
      <c r="I262" s="1" t="s">
        <v>12</v>
      </c>
      <c r="J262" s="1" t="s">
        <v>66</v>
      </c>
      <c r="K262" s="1" t="s">
        <v>67</v>
      </c>
      <c r="L262" s="1" t="s">
        <v>35</v>
      </c>
      <c r="M262" s="1" t="s">
        <v>35</v>
      </c>
      <c r="N262" s="1">
        <v>30.18</v>
      </c>
      <c r="O262" s="1" t="s">
        <v>20</v>
      </c>
      <c r="P262" s="1">
        <v>14</v>
      </c>
      <c r="Q262" s="1" t="s">
        <v>16</v>
      </c>
      <c r="R262" s="1" t="str">
        <f>IF(N262="","",VLOOKUP(N262,Prior_levels,2,TRUE))</f>
        <v>H</v>
      </c>
    </row>
    <row r="263" spans="1:18" x14ac:dyDescent="0.2">
      <c r="A263" s="1" t="s">
        <v>65</v>
      </c>
      <c r="B263" s="1" t="s">
        <v>10</v>
      </c>
      <c r="C263" s="2">
        <v>41155</v>
      </c>
      <c r="D263" s="1">
        <v>10</v>
      </c>
      <c r="E263" s="1" t="s">
        <v>39</v>
      </c>
      <c r="F263" s="1" t="s">
        <v>28</v>
      </c>
      <c r="H263" s="1" t="s">
        <v>48</v>
      </c>
      <c r="I263" s="1" t="s">
        <v>12</v>
      </c>
      <c r="J263" s="1" t="s">
        <v>66</v>
      </c>
      <c r="K263" s="1" t="s">
        <v>67</v>
      </c>
      <c r="L263" s="1" t="s">
        <v>35</v>
      </c>
      <c r="M263" s="1" t="s">
        <v>35</v>
      </c>
      <c r="N263" s="1">
        <v>30.18</v>
      </c>
      <c r="O263" s="1" t="s">
        <v>21</v>
      </c>
      <c r="P263" s="1">
        <v>12.5</v>
      </c>
      <c r="Q263" s="1" t="s">
        <v>16</v>
      </c>
      <c r="R263" s="1" t="str">
        <f>IF(N263="","",VLOOKUP(N263,Prior_levels,2,TRUE))</f>
        <v>H</v>
      </c>
    </row>
    <row r="264" spans="1:18" x14ac:dyDescent="0.2">
      <c r="A264" s="1" t="s">
        <v>65</v>
      </c>
      <c r="B264" s="1" t="s">
        <v>10</v>
      </c>
      <c r="C264" s="2">
        <v>41155</v>
      </c>
      <c r="D264" s="1">
        <v>10</v>
      </c>
      <c r="E264" s="1" t="s">
        <v>39</v>
      </c>
      <c r="F264" s="1" t="s">
        <v>28</v>
      </c>
      <c r="H264" s="1" t="s">
        <v>48</v>
      </c>
      <c r="I264" s="1" t="s">
        <v>12</v>
      </c>
      <c r="J264" s="1" t="s">
        <v>66</v>
      </c>
      <c r="K264" s="1" t="s">
        <v>67</v>
      </c>
      <c r="L264" s="1" t="s">
        <v>35</v>
      </c>
      <c r="M264" s="1" t="s">
        <v>35</v>
      </c>
      <c r="N264" s="1">
        <v>30.18</v>
      </c>
      <c r="O264" s="1" t="s">
        <v>22</v>
      </c>
      <c r="P264" s="1">
        <v>-1.85</v>
      </c>
      <c r="Q264" s="1" t="s">
        <v>16</v>
      </c>
      <c r="R264" s="1" t="str">
        <f>IF(N264="","",VLOOKUP(N264,Prior_levels,2,TRUE))</f>
        <v>H</v>
      </c>
    </row>
    <row r="265" spans="1:18" x14ac:dyDescent="0.2">
      <c r="A265" s="1" t="s">
        <v>65</v>
      </c>
      <c r="B265" s="1" t="s">
        <v>10</v>
      </c>
      <c r="C265" s="2">
        <v>41155</v>
      </c>
      <c r="D265" s="1">
        <v>10</v>
      </c>
      <c r="E265" s="1" t="s">
        <v>39</v>
      </c>
      <c r="F265" s="1" t="s">
        <v>28</v>
      </c>
      <c r="H265" s="1" t="s">
        <v>48</v>
      </c>
      <c r="I265" s="1" t="s">
        <v>12</v>
      </c>
      <c r="J265" s="1" t="s">
        <v>66</v>
      </c>
      <c r="K265" s="1" t="s">
        <v>67</v>
      </c>
      <c r="L265" s="1" t="s">
        <v>35</v>
      </c>
      <c r="M265" s="1" t="s">
        <v>35</v>
      </c>
      <c r="N265" s="1">
        <v>30.18</v>
      </c>
      <c r="O265" s="1" t="s">
        <v>23</v>
      </c>
      <c r="P265" s="1">
        <v>0.37</v>
      </c>
      <c r="Q265" s="1" t="s">
        <v>16</v>
      </c>
      <c r="R265" s="1" t="str">
        <f>IF(N265="","",VLOOKUP(N265,Prior_levels,2,TRUE))</f>
        <v>H</v>
      </c>
    </row>
    <row r="266" spans="1:18" x14ac:dyDescent="0.2">
      <c r="A266" s="1" t="s">
        <v>65</v>
      </c>
      <c r="B266" s="1" t="s">
        <v>10</v>
      </c>
      <c r="C266" s="2">
        <v>41155</v>
      </c>
      <c r="D266" s="1">
        <v>10</v>
      </c>
      <c r="E266" s="1" t="s">
        <v>39</v>
      </c>
      <c r="F266" s="1" t="s">
        <v>28</v>
      </c>
      <c r="H266" s="1" t="s">
        <v>48</v>
      </c>
      <c r="I266" s="1" t="s">
        <v>12</v>
      </c>
      <c r="J266" s="1" t="s">
        <v>66</v>
      </c>
      <c r="K266" s="1" t="s">
        <v>67</v>
      </c>
      <c r="L266" s="1" t="s">
        <v>35</v>
      </c>
      <c r="M266" s="1" t="s">
        <v>35</v>
      </c>
      <c r="N266" s="1">
        <v>30.18</v>
      </c>
      <c r="O266" s="1" t="s">
        <v>24</v>
      </c>
      <c r="P266" s="1">
        <v>-1.71</v>
      </c>
      <c r="Q266" s="1" t="s">
        <v>16</v>
      </c>
      <c r="R266" s="1" t="str">
        <f>IF(N266="","",VLOOKUP(N266,Prior_levels,2,TRUE))</f>
        <v>H</v>
      </c>
    </row>
    <row r="267" spans="1:18" x14ac:dyDescent="0.2">
      <c r="A267" s="1" t="s">
        <v>65</v>
      </c>
      <c r="B267" s="1" t="s">
        <v>10</v>
      </c>
      <c r="C267" s="2">
        <v>41155</v>
      </c>
      <c r="D267" s="1">
        <v>10</v>
      </c>
      <c r="E267" s="1" t="s">
        <v>39</v>
      </c>
      <c r="F267" s="1" t="s">
        <v>28</v>
      </c>
      <c r="H267" s="1" t="s">
        <v>48</v>
      </c>
      <c r="I267" s="1" t="s">
        <v>12</v>
      </c>
      <c r="J267" s="1" t="s">
        <v>66</v>
      </c>
      <c r="K267" s="1" t="s">
        <v>67</v>
      </c>
      <c r="L267" s="1" t="s">
        <v>35</v>
      </c>
      <c r="M267" s="1" t="s">
        <v>35</v>
      </c>
      <c r="N267" s="1">
        <v>30.18</v>
      </c>
      <c r="O267" s="1" t="s">
        <v>25</v>
      </c>
      <c r="P267" s="1">
        <v>-4.71</v>
      </c>
      <c r="Q267" s="1" t="s">
        <v>16</v>
      </c>
      <c r="R267" s="1" t="str">
        <f>IF(N267="","",VLOOKUP(N267,Prior_levels,2,TRUE))</f>
        <v>H</v>
      </c>
    </row>
    <row r="268" spans="1:18" x14ac:dyDescent="0.2">
      <c r="A268" s="1" t="s">
        <v>65</v>
      </c>
      <c r="B268" s="1" t="s">
        <v>10</v>
      </c>
      <c r="C268" s="2">
        <v>41155</v>
      </c>
      <c r="D268" s="1">
        <v>10</v>
      </c>
      <c r="E268" s="1" t="s">
        <v>39</v>
      </c>
      <c r="F268" s="1" t="s">
        <v>28</v>
      </c>
      <c r="H268" s="1" t="s">
        <v>48</v>
      </c>
      <c r="I268" s="1" t="s">
        <v>12</v>
      </c>
      <c r="J268" s="1" t="s">
        <v>66</v>
      </c>
      <c r="K268" s="1" t="s">
        <v>67</v>
      </c>
      <c r="L268" s="1" t="s">
        <v>35</v>
      </c>
      <c r="M268" s="1" t="s">
        <v>35</v>
      </c>
      <c r="N268" s="1">
        <v>30.18</v>
      </c>
      <c r="O268" s="1" t="s">
        <v>26</v>
      </c>
      <c r="P268" s="1">
        <v>4</v>
      </c>
      <c r="Q268" s="1" t="s">
        <v>16</v>
      </c>
      <c r="R268" s="1" t="str">
        <f>IF(N268="","",VLOOKUP(N268,Prior_levels,2,TRUE))</f>
        <v>H</v>
      </c>
    </row>
    <row r="269" spans="1:18" x14ac:dyDescent="0.2">
      <c r="A269" s="1" t="s">
        <v>65</v>
      </c>
      <c r="B269" s="1" t="s">
        <v>10</v>
      </c>
      <c r="C269" s="2">
        <v>41155</v>
      </c>
      <c r="D269" s="1">
        <v>10</v>
      </c>
      <c r="E269" s="1" t="s">
        <v>39</v>
      </c>
      <c r="F269" s="1" t="s">
        <v>28</v>
      </c>
      <c r="H269" s="1" t="s">
        <v>48</v>
      </c>
      <c r="I269" s="1" t="s">
        <v>12</v>
      </c>
      <c r="J269" s="1" t="s">
        <v>66</v>
      </c>
      <c r="K269" s="1" t="s">
        <v>67</v>
      </c>
      <c r="L269" s="1" t="s">
        <v>35</v>
      </c>
      <c r="M269" s="1" t="s">
        <v>35</v>
      </c>
      <c r="N269" s="1">
        <v>30.18</v>
      </c>
      <c r="O269" s="1" t="s">
        <v>27</v>
      </c>
      <c r="P269" s="1" t="s">
        <v>37</v>
      </c>
      <c r="Q269" s="1" t="s">
        <v>16</v>
      </c>
      <c r="R269" s="1" t="str">
        <f>IF(N269="","",VLOOKUP(N269,Prior_levels,2,TRUE))</f>
        <v>H</v>
      </c>
    </row>
    <row r="270" spans="1:18" x14ac:dyDescent="0.2">
      <c r="A270" s="1" t="s">
        <v>65</v>
      </c>
      <c r="B270" s="1" t="s">
        <v>10</v>
      </c>
      <c r="C270" s="2">
        <v>41155</v>
      </c>
      <c r="D270" s="1">
        <v>10</v>
      </c>
      <c r="E270" s="1" t="s">
        <v>39</v>
      </c>
      <c r="F270" s="1" t="s">
        <v>28</v>
      </c>
      <c r="H270" s="1" t="s">
        <v>48</v>
      </c>
      <c r="I270" s="1" t="s">
        <v>12</v>
      </c>
      <c r="J270" s="1" t="s">
        <v>66</v>
      </c>
      <c r="K270" s="1" t="s">
        <v>67</v>
      </c>
      <c r="L270" s="1" t="s">
        <v>35</v>
      </c>
      <c r="M270" s="1" t="s">
        <v>35</v>
      </c>
      <c r="N270" s="1">
        <v>30.18</v>
      </c>
      <c r="O270" s="1" t="s">
        <v>29</v>
      </c>
      <c r="P270" s="1" t="s">
        <v>28</v>
      </c>
      <c r="Q270" s="1" t="s">
        <v>16</v>
      </c>
      <c r="R270" s="1" t="str">
        <f>IF(N270="","",VLOOKUP(N270,Prior_levels,2,TRUE))</f>
        <v>H</v>
      </c>
    </row>
    <row r="271" spans="1:18" x14ac:dyDescent="0.2">
      <c r="A271" s="1" t="s">
        <v>65</v>
      </c>
      <c r="B271" s="1" t="s">
        <v>10</v>
      </c>
      <c r="C271" s="2">
        <v>41155</v>
      </c>
      <c r="D271" s="1">
        <v>10</v>
      </c>
      <c r="E271" s="1" t="s">
        <v>39</v>
      </c>
      <c r="F271" s="1" t="s">
        <v>28</v>
      </c>
      <c r="H271" s="1" t="s">
        <v>48</v>
      </c>
      <c r="I271" s="1" t="s">
        <v>12</v>
      </c>
      <c r="J271" s="1" t="s">
        <v>66</v>
      </c>
      <c r="K271" s="1" t="s">
        <v>67</v>
      </c>
      <c r="L271" s="1" t="s">
        <v>35</v>
      </c>
      <c r="M271" s="1" t="s">
        <v>35</v>
      </c>
      <c r="N271" s="1">
        <v>30.18</v>
      </c>
      <c r="O271" s="1" t="s">
        <v>30</v>
      </c>
      <c r="P271" s="1" t="s">
        <v>28</v>
      </c>
      <c r="Q271" s="1" t="s">
        <v>16</v>
      </c>
      <c r="R271" s="1" t="str">
        <f>IF(N271="","",VLOOKUP(N271,Prior_levels,2,TRUE))</f>
        <v>H</v>
      </c>
    </row>
    <row r="272" spans="1:18" x14ac:dyDescent="0.2">
      <c r="A272" s="1" t="s">
        <v>65</v>
      </c>
      <c r="B272" s="1" t="s">
        <v>10</v>
      </c>
      <c r="C272" s="2">
        <v>41155</v>
      </c>
      <c r="D272" s="1">
        <v>10</v>
      </c>
      <c r="E272" s="1" t="s">
        <v>39</v>
      </c>
      <c r="F272" s="1" t="s">
        <v>28</v>
      </c>
      <c r="H272" s="1" t="s">
        <v>48</v>
      </c>
      <c r="I272" s="1" t="s">
        <v>12</v>
      </c>
      <c r="J272" s="1" t="s">
        <v>66</v>
      </c>
      <c r="K272" s="1" t="s">
        <v>67</v>
      </c>
      <c r="L272" s="1" t="s">
        <v>35</v>
      </c>
      <c r="M272" s="1" t="s">
        <v>35</v>
      </c>
      <c r="N272" s="1">
        <v>30.18</v>
      </c>
      <c r="O272" s="1" t="s">
        <v>31</v>
      </c>
      <c r="P272" s="1" t="s">
        <v>28</v>
      </c>
      <c r="Q272" s="1" t="s">
        <v>16</v>
      </c>
      <c r="R272" s="1" t="str">
        <f>IF(N272="","",VLOOKUP(N272,Prior_levels,2,TRUE))</f>
        <v>H</v>
      </c>
    </row>
    <row r="273" spans="1:18" x14ac:dyDescent="0.2">
      <c r="A273" s="1" t="s">
        <v>65</v>
      </c>
      <c r="B273" s="1" t="s">
        <v>10</v>
      </c>
      <c r="C273" s="2">
        <v>41155</v>
      </c>
      <c r="D273" s="1">
        <v>10</v>
      </c>
      <c r="E273" s="1" t="s">
        <v>39</v>
      </c>
      <c r="F273" s="1" t="s">
        <v>28</v>
      </c>
      <c r="H273" s="1" t="s">
        <v>48</v>
      </c>
      <c r="I273" s="1" t="s">
        <v>12</v>
      </c>
      <c r="J273" s="1" t="s">
        <v>66</v>
      </c>
      <c r="K273" s="1" t="s">
        <v>67</v>
      </c>
      <c r="L273" s="1" t="s">
        <v>35</v>
      </c>
      <c r="M273" s="1" t="s">
        <v>35</v>
      </c>
      <c r="N273" s="1">
        <v>30.18</v>
      </c>
      <c r="O273" s="1" t="s">
        <v>32</v>
      </c>
      <c r="P273" s="1" t="s">
        <v>28</v>
      </c>
      <c r="Q273" s="1" t="s">
        <v>16</v>
      </c>
      <c r="R273" s="1" t="str">
        <f>IF(N273="","",VLOOKUP(N273,Prior_levels,2,TRUE))</f>
        <v>H</v>
      </c>
    </row>
    <row r="274" spans="1:18" x14ac:dyDescent="0.2">
      <c r="A274" s="1" t="s">
        <v>68</v>
      </c>
      <c r="B274" s="1" t="s">
        <v>12</v>
      </c>
      <c r="C274" s="2">
        <v>41155</v>
      </c>
      <c r="D274" s="1">
        <v>10</v>
      </c>
      <c r="E274" s="1" t="s">
        <v>11</v>
      </c>
      <c r="F274" s="1" t="s">
        <v>28</v>
      </c>
      <c r="H274" s="1" t="s">
        <v>48</v>
      </c>
      <c r="I274" s="1" t="s">
        <v>12</v>
      </c>
      <c r="J274" s="1" t="s">
        <v>66</v>
      </c>
      <c r="K274" s="1" t="s">
        <v>67</v>
      </c>
      <c r="L274" s="1" t="s">
        <v>35</v>
      </c>
      <c r="M274" s="1" t="s">
        <v>35</v>
      </c>
      <c r="N274" s="1">
        <v>27.12</v>
      </c>
      <c r="O274" s="1" t="s">
        <v>15</v>
      </c>
      <c r="P274" s="1">
        <v>4.5</v>
      </c>
      <c r="Q274" s="1" t="s">
        <v>16</v>
      </c>
      <c r="R274" s="1" t="str">
        <f>IF(N274="","",VLOOKUP(N274,Prior_levels,2,TRUE))</f>
        <v>M</v>
      </c>
    </row>
    <row r="275" spans="1:18" x14ac:dyDescent="0.2">
      <c r="A275" s="1" t="s">
        <v>68</v>
      </c>
      <c r="B275" s="1" t="s">
        <v>12</v>
      </c>
      <c r="C275" s="2">
        <v>41155</v>
      </c>
      <c r="D275" s="1">
        <v>10</v>
      </c>
      <c r="E275" s="1" t="s">
        <v>11</v>
      </c>
      <c r="F275" s="1" t="s">
        <v>28</v>
      </c>
      <c r="H275" s="1" t="s">
        <v>48</v>
      </c>
      <c r="I275" s="1" t="s">
        <v>12</v>
      </c>
      <c r="J275" s="1" t="s">
        <v>66</v>
      </c>
      <c r="K275" s="1" t="s">
        <v>67</v>
      </c>
      <c r="L275" s="1" t="s">
        <v>35</v>
      </c>
      <c r="M275" s="1" t="s">
        <v>35</v>
      </c>
      <c r="N275" s="1">
        <v>27.12</v>
      </c>
      <c r="O275" s="1" t="s">
        <v>17</v>
      </c>
      <c r="P275" s="1">
        <v>-0.05</v>
      </c>
      <c r="Q275" s="1" t="s">
        <v>16</v>
      </c>
      <c r="R275" s="1" t="str">
        <f>IF(N275="","",VLOOKUP(N275,Prior_levels,2,TRUE))</f>
        <v>M</v>
      </c>
    </row>
    <row r="276" spans="1:18" x14ac:dyDescent="0.2">
      <c r="A276" s="1" t="s">
        <v>68</v>
      </c>
      <c r="B276" s="1" t="s">
        <v>12</v>
      </c>
      <c r="C276" s="2">
        <v>41155</v>
      </c>
      <c r="D276" s="1">
        <v>10</v>
      </c>
      <c r="E276" s="1" t="s">
        <v>11</v>
      </c>
      <c r="F276" s="1" t="s">
        <v>28</v>
      </c>
      <c r="H276" s="1" t="s">
        <v>48</v>
      </c>
      <c r="I276" s="1" t="s">
        <v>12</v>
      </c>
      <c r="J276" s="1" t="s">
        <v>66</v>
      </c>
      <c r="K276" s="1" t="s">
        <v>67</v>
      </c>
      <c r="L276" s="1" t="s">
        <v>35</v>
      </c>
      <c r="M276" s="1" t="s">
        <v>35</v>
      </c>
      <c r="N276" s="1">
        <v>27.12</v>
      </c>
      <c r="O276" s="1" t="s">
        <v>18</v>
      </c>
      <c r="P276" s="1">
        <v>10</v>
      </c>
      <c r="Q276" s="1" t="s">
        <v>16</v>
      </c>
      <c r="R276" s="1" t="str">
        <f>IF(N276="","",VLOOKUP(N276,Prior_levels,2,TRUE))</f>
        <v>M</v>
      </c>
    </row>
    <row r="277" spans="1:18" x14ac:dyDescent="0.2">
      <c r="A277" s="1" t="s">
        <v>68</v>
      </c>
      <c r="B277" s="1" t="s">
        <v>12</v>
      </c>
      <c r="C277" s="2">
        <v>41155</v>
      </c>
      <c r="D277" s="1">
        <v>10</v>
      </c>
      <c r="E277" s="1" t="s">
        <v>11</v>
      </c>
      <c r="F277" s="1" t="s">
        <v>28</v>
      </c>
      <c r="H277" s="1" t="s">
        <v>48</v>
      </c>
      <c r="I277" s="1" t="s">
        <v>12</v>
      </c>
      <c r="J277" s="1" t="s">
        <v>66</v>
      </c>
      <c r="K277" s="1" t="s">
        <v>67</v>
      </c>
      <c r="L277" s="1" t="s">
        <v>35</v>
      </c>
      <c r="M277" s="1" t="s">
        <v>35</v>
      </c>
      <c r="N277" s="1">
        <v>27.12</v>
      </c>
      <c r="O277" s="1" t="s">
        <v>19</v>
      </c>
      <c r="P277" s="1">
        <v>10</v>
      </c>
      <c r="Q277" s="1" t="s">
        <v>16</v>
      </c>
      <c r="R277" s="1" t="str">
        <f>IF(N277="","",VLOOKUP(N277,Prior_levels,2,TRUE))</f>
        <v>M</v>
      </c>
    </row>
    <row r="278" spans="1:18" x14ac:dyDescent="0.2">
      <c r="A278" s="1" t="s">
        <v>68</v>
      </c>
      <c r="B278" s="1" t="s">
        <v>12</v>
      </c>
      <c r="C278" s="2">
        <v>41155</v>
      </c>
      <c r="D278" s="1">
        <v>10</v>
      </c>
      <c r="E278" s="1" t="s">
        <v>11</v>
      </c>
      <c r="F278" s="1" t="s">
        <v>28</v>
      </c>
      <c r="H278" s="1" t="s">
        <v>48</v>
      </c>
      <c r="I278" s="1" t="s">
        <v>12</v>
      </c>
      <c r="J278" s="1" t="s">
        <v>66</v>
      </c>
      <c r="K278" s="1" t="s">
        <v>67</v>
      </c>
      <c r="L278" s="1" t="s">
        <v>35</v>
      </c>
      <c r="M278" s="1" t="s">
        <v>35</v>
      </c>
      <c r="N278" s="1">
        <v>27.12</v>
      </c>
      <c r="O278" s="1" t="s">
        <v>20</v>
      </c>
      <c r="P278" s="1">
        <v>12</v>
      </c>
      <c r="Q278" s="1" t="s">
        <v>16</v>
      </c>
      <c r="R278" s="1" t="str">
        <f>IF(N278="","",VLOOKUP(N278,Prior_levels,2,TRUE))</f>
        <v>M</v>
      </c>
    </row>
    <row r="279" spans="1:18" x14ac:dyDescent="0.2">
      <c r="A279" s="1" t="s">
        <v>68</v>
      </c>
      <c r="B279" s="1" t="s">
        <v>12</v>
      </c>
      <c r="C279" s="2">
        <v>41155</v>
      </c>
      <c r="D279" s="1">
        <v>10</v>
      </c>
      <c r="E279" s="1" t="s">
        <v>11</v>
      </c>
      <c r="F279" s="1" t="s">
        <v>28</v>
      </c>
      <c r="H279" s="1" t="s">
        <v>48</v>
      </c>
      <c r="I279" s="1" t="s">
        <v>12</v>
      </c>
      <c r="J279" s="1" t="s">
        <v>66</v>
      </c>
      <c r="K279" s="1" t="s">
        <v>67</v>
      </c>
      <c r="L279" s="1" t="s">
        <v>35</v>
      </c>
      <c r="M279" s="1" t="s">
        <v>35</v>
      </c>
      <c r="N279" s="1">
        <v>27.12</v>
      </c>
      <c r="O279" s="1" t="s">
        <v>21</v>
      </c>
      <c r="P279" s="1">
        <v>13</v>
      </c>
      <c r="Q279" s="1" t="s">
        <v>16</v>
      </c>
      <c r="R279" s="1" t="str">
        <f>IF(N279="","",VLOOKUP(N279,Prior_levels,2,TRUE))</f>
        <v>M</v>
      </c>
    </row>
    <row r="280" spans="1:18" x14ac:dyDescent="0.2">
      <c r="A280" s="1" t="s">
        <v>68</v>
      </c>
      <c r="B280" s="1" t="s">
        <v>12</v>
      </c>
      <c r="C280" s="2">
        <v>41155</v>
      </c>
      <c r="D280" s="1">
        <v>10</v>
      </c>
      <c r="E280" s="1" t="s">
        <v>11</v>
      </c>
      <c r="F280" s="1" t="s">
        <v>28</v>
      </c>
      <c r="H280" s="1" t="s">
        <v>48</v>
      </c>
      <c r="I280" s="1" t="s">
        <v>12</v>
      </c>
      <c r="J280" s="1" t="s">
        <v>66</v>
      </c>
      <c r="K280" s="1" t="s">
        <v>67</v>
      </c>
      <c r="L280" s="1" t="s">
        <v>35</v>
      </c>
      <c r="M280" s="1" t="s">
        <v>35</v>
      </c>
      <c r="N280" s="1">
        <v>27.12</v>
      </c>
      <c r="O280" s="1" t="s">
        <v>22</v>
      </c>
      <c r="P280" s="1">
        <v>-0.05</v>
      </c>
      <c r="Q280" s="1" t="s">
        <v>16</v>
      </c>
      <c r="R280" s="1" t="str">
        <f>IF(N280="","",VLOOKUP(N280,Prior_levels,2,TRUE))</f>
        <v>M</v>
      </c>
    </row>
    <row r="281" spans="1:18" x14ac:dyDescent="0.2">
      <c r="A281" s="1" t="s">
        <v>68</v>
      </c>
      <c r="B281" s="1" t="s">
        <v>12</v>
      </c>
      <c r="C281" s="2">
        <v>41155</v>
      </c>
      <c r="D281" s="1">
        <v>10</v>
      </c>
      <c r="E281" s="1" t="s">
        <v>11</v>
      </c>
      <c r="F281" s="1" t="s">
        <v>28</v>
      </c>
      <c r="H281" s="1" t="s">
        <v>48</v>
      </c>
      <c r="I281" s="1" t="s">
        <v>12</v>
      </c>
      <c r="J281" s="1" t="s">
        <v>66</v>
      </c>
      <c r="K281" s="1" t="s">
        <v>67</v>
      </c>
      <c r="L281" s="1" t="s">
        <v>35</v>
      </c>
      <c r="M281" s="1" t="s">
        <v>35</v>
      </c>
      <c r="N281" s="1">
        <v>27.12</v>
      </c>
      <c r="O281" s="1" t="s">
        <v>23</v>
      </c>
      <c r="P281" s="1">
        <v>0.36</v>
      </c>
      <c r="Q281" s="1" t="s">
        <v>16</v>
      </c>
      <c r="R281" s="1" t="str">
        <f>IF(N281="","",VLOOKUP(N281,Prior_levels,2,TRUE))</f>
        <v>M</v>
      </c>
    </row>
    <row r="282" spans="1:18" x14ac:dyDescent="0.2">
      <c r="A282" s="1" t="s">
        <v>68</v>
      </c>
      <c r="B282" s="1" t="s">
        <v>12</v>
      </c>
      <c r="C282" s="2">
        <v>41155</v>
      </c>
      <c r="D282" s="1">
        <v>10</v>
      </c>
      <c r="E282" s="1" t="s">
        <v>11</v>
      </c>
      <c r="F282" s="1" t="s">
        <v>28</v>
      </c>
      <c r="H282" s="1" t="s">
        <v>48</v>
      </c>
      <c r="I282" s="1" t="s">
        <v>12</v>
      </c>
      <c r="J282" s="1" t="s">
        <v>66</v>
      </c>
      <c r="K282" s="1" t="s">
        <v>67</v>
      </c>
      <c r="L282" s="1" t="s">
        <v>35</v>
      </c>
      <c r="M282" s="1" t="s">
        <v>35</v>
      </c>
      <c r="N282" s="1">
        <v>27.12</v>
      </c>
      <c r="O282" s="1" t="s">
        <v>25</v>
      </c>
      <c r="P282" s="1">
        <v>-1.89</v>
      </c>
      <c r="Q282" s="1" t="s">
        <v>16</v>
      </c>
      <c r="R282" s="1" t="str">
        <f>IF(N282="","",VLOOKUP(N282,Prior_levels,2,TRUE))</f>
        <v>M</v>
      </c>
    </row>
    <row r="283" spans="1:18" x14ac:dyDescent="0.2">
      <c r="A283" s="1" t="s">
        <v>68</v>
      </c>
      <c r="B283" s="1" t="s">
        <v>12</v>
      </c>
      <c r="C283" s="2">
        <v>41155</v>
      </c>
      <c r="D283" s="1">
        <v>10</v>
      </c>
      <c r="E283" s="1" t="s">
        <v>11</v>
      </c>
      <c r="F283" s="1" t="s">
        <v>28</v>
      </c>
      <c r="H283" s="1" t="s">
        <v>48</v>
      </c>
      <c r="I283" s="1" t="s">
        <v>12</v>
      </c>
      <c r="J283" s="1" t="s">
        <v>66</v>
      </c>
      <c r="K283" s="1" t="s">
        <v>67</v>
      </c>
      <c r="L283" s="1" t="s">
        <v>35</v>
      </c>
      <c r="M283" s="1" t="s">
        <v>35</v>
      </c>
      <c r="N283" s="1">
        <v>27.12</v>
      </c>
      <c r="O283" s="1" t="s">
        <v>26</v>
      </c>
      <c r="P283" s="1">
        <v>9</v>
      </c>
      <c r="Q283" s="1" t="s">
        <v>16</v>
      </c>
      <c r="R283" s="1" t="str">
        <f>IF(N283="","",VLOOKUP(N283,Prior_levels,2,TRUE))</f>
        <v>M</v>
      </c>
    </row>
    <row r="284" spans="1:18" x14ac:dyDescent="0.2">
      <c r="A284" s="1" t="s">
        <v>68</v>
      </c>
      <c r="B284" s="1" t="s">
        <v>12</v>
      </c>
      <c r="C284" s="2">
        <v>41155</v>
      </c>
      <c r="D284" s="1">
        <v>10</v>
      </c>
      <c r="E284" s="1" t="s">
        <v>11</v>
      </c>
      <c r="F284" s="1" t="s">
        <v>28</v>
      </c>
      <c r="H284" s="1" t="s">
        <v>48</v>
      </c>
      <c r="I284" s="1" t="s">
        <v>12</v>
      </c>
      <c r="J284" s="1" t="s">
        <v>66</v>
      </c>
      <c r="K284" s="1" t="s">
        <v>67</v>
      </c>
      <c r="L284" s="1" t="s">
        <v>35</v>
      </c>
      <c r="M284" s="1" t="s">
        <v>35</v>
      </c>
      <c r="N284" s="1">
        <v>27.12</v>
      </c>
      <c r="O284" s="1" t="s">
        <v>24</v>
      </c>
      <c r="P284" s="1">
        <v>0.75</v>
      </c>
      <c r="Q284" s="1" t="s">
        <v>16</v>
      </c>
      <c r="R284" s="1" t="str">
        <f>IF(N284="","",VLOOKUP(N284,Prior_levels,2,TRUE))</f>
        <v>M</v>
      </c>
    </row>
    <row r="285" spans="1:18" x14ac:dyDescent="0.2">
      <c r="A285" s="1" t="s">
        <v>68</v>
      </c>
      <c r="B285" s="1" t="s">
        <v>12</v>
      </c>
      <c r="C285" s="2">
        <v>41155</v>
      </c>
      <c r="D285" s="1">
        <v>10</v>
      </c>
      <c r="E285" s="1" t="s">
        <v>11</v>
      </c>
      <c r="F285" s="1" t="s">
        <v>28</v>
      </c>
      <c r="H285" s="1" t="s">
        <v>48</v>
      </c>
      <c r="I285" s="1" t="s">
        <v>12</v>
      </c>
      <c r="J285" s="1" t="s">
        <v>66</v>
      </c>
      <c r="K285" s="1" t="s">
        <v>67</v>
      </c>
      <c r="L285" s="1" t="s">
        <v>35</v>
      </c>
      <c r="M285" s="1" t="s">
        <v>35</v>
      </c>
      <c r="N285" s="1">
        <v>27.12</v>
      </c>
      <c r="O285" s="1" t="s">
        <v>32</v>
      </c>
      <c r="P285" s="1" t="s">
        <v>37</v>
      </c>
      <c r="Q285" s="1" t="s">
        <v>16</v>
      </c>
      <c r="R285" s="1" t="str">
        <f>IF(N285="","",VLOOKUP(N285,Prior_levels,2,TRUE))</f>
        <v>M</v>
      </c>
    </row>
    <row r="286" spans="1:18" x14ac:dyDescent="0.2">
      <c r="A286" s="1" t="s">
        <v>68</v>
      </c>
      <c r="B286" s="1" t="s">
        <v>12</v>
      </c>
      <c r="C286" s="2">
        <v>41155</v>
      </c>
      <c r="D286" s="1">
        <v>10</v>
      </c>
      <c r="E286" s="1" t="s">
        <v>11</v>
      </c>
      <c r="F286" s="1" t="s">
        <v>28</v>
      </c>
      <c r="H286" s="1" t="s">
        <v>48</v>
      </c>
      <c r="I286" s="1" t="s">
        <v>12</v>
      </c>
      <c r="J286" s="1" t="s">
        <v>66</v>
      </c>
      <c r="K286" s="1" t="s">
        <v>67</v>
      </c>
      <c r="L286" s="1" t="s">
        <v>35</v>
      </c>
      <c r="M286" s="1" t="s">
        <v>35</v>
      </c>
      <c r="N286" s="1">
        <v>27.12</v>
      </c>
      <c r="O286" s="1" t="s">
        <v>27</v>
      </c>
      <c r="P286" s="1" t="s">
        <v>37</v>
      </c>
      <c r="Q286" s="1" t="s">
        <v>16</v>
      </c>
      <c r="R286" s="1" t="str">
        <f>IF(N286="","",VLOOKUP(N286,Prior_levels,2,TRUE))</f>
        <v>M</v>
      </c>
    </row>
    <row r="287" spans="1:18" x14ac:dyDescent="0.2">
      <c r="A287" s="1" t="s">
        <v>68</v>
      </c>
      <c r="B287" s="1" t="s">
        <v>12</v>
      </c>
      <c r="C287" s="2">
        <v>41155</v>
      </c>
      <c r="D287" s="1">
        <v>10</v>
      </c>
      <c r="E287" s="1" t="s">
        <v>11</v>
      </c>
      <c r="F287" s="1" t="s">
        <v>28</v>
      </c>
      <c r="H287" s="1" t="s">
        <v>48</v>
      </c>
      <c r="I287" s="1" t="s">
        <v>12</v>
      </c>
      <c r="J287" s="1" t="s">
        <v>66</v>
      </c>
      <c r="K287" s="1" t="s">
        <v>67</v>
      </c>
      <c r="L287" s="1" t="s">
        <v>35</v>
      </c>
      <c r="M287" s="1" t="s">
        <v>35</v>
      </c>
      <c r="N287" s="1">
        <v>27.12</v>
      </c>
      <c r="O287" s="1" t="s">
        <v>29</v>
      </c>
      <c r="P287" s="1" t="s">
        <v>37</v>
      </c>
      <c r="Q287" s="1" t="s">
        <v>16</v>
      </c>
      <c r="R287" s="1" t="str">
        <f>IF(N287="","",VLOOKUP(N287,Prior_levels,2,TRUE))</f>
        <v>M</v>
      </c>
    </row>
    <row r="288" spans="1:18" x14ac:dyDescent="0.2">
      <c r="A288" s="1" t="s">
        <v>68</v>
      </c>
      <c r="B288" s="1" t="s">
        <v>12</v>
      </c>
      <c r="C288" s="2">
        <v>41155</v>
      </c>
      <c r="D288" s="1">
        <v>10</v>
      </c>
      <c r="E288" s="1" t="s">
        <v>11</v>
      </c>
      <c r="F288" s="1" t="s">
        <v>28</v>
      </c>
      <c r="H288" s="1" t="s">
        <v>48</v>
      </c>
      <c r="I288" s="1" t="s">
        <v>12</v>
      </c>
      <c r="J288" s="1" t="s">
        <v>66</v>
      </c>
      <c r="K288" s="1" t="s">
        <v>67</v>
      </c>
      <c r="L288" s="1" t="s">
        <v>35</v>
      </c>
      <c r="M288" s="1" t="s">
        <v>35</v>
      </c>
      <c r="N288" s="1">
        <v>27.12</v>
      </c>
      <c r="O288" s="1" t="s">
        <v>30</v>
      </c>
      <c r="P288" s="1" t="s">
        <v>37</v>
      </c>
      <c r="Q288" s="1" t="s">
        <v>16</v>
      </c>
      <c r="R288" s="1" t="str">
        <f>IF(N288="","",VLOOKUP(N288,Prior_levels,2,TRUE))</f>
        <v>M</v>
      </c>
    </row>
    <row r="289" spans="1:18" x14ac:dyDescent="0.2">
      <c r="A289" s="1" t="s">
        <v>68</v>
      </c>
      <c r="B289" s="1" t="s">
        <v>12</v>
      </c>
      <c r="C289" s="2">
        <v>41155</v>
      </c>
      <c r="D289" s="1">
        <v>10</v>
      </c>
      <c r="E289" s="1" t="s">
        <v>11</v>
      </c>
      <c r="F289" s="1" t="s">
        <v>28</v>
      </c>
      <c r="H289" s="1" t="s">
        <v>48</v>
      </c>
      <c r="I289" s="1" t="s">
        <v>12</v>
      </c>
      <c r="J289" s="1" t="s">
        <v>66</v>
      </c>
      <c r="K289" s="1" t="s">
        <v>67</v>
      </c>
      <c r="L289" s="1" t="s">
        <v>35</v>
      </c>
      <c r="M289" s="1" t="s">
        <v>35</v>
      </c>
      <c r="N289" s="1">
        <v>27.12</v>
      </c>
      <c r="O289" s="1" t="s">
        <v>31</v>
      </c>
      <c r="P289" s="1" t="s">
        <v>37</v>
      </c>
      <c r="Q289" s="1" t="s">
        <v>16</v>
      </c>
      <c r="R289" s="1" t="str">
        <f>IF(N289="","",VLOOKUP(N289,Prior_levels,2,TRUE))</f>
        <v>M</v>
      </c>
    </row>
    <row r="290" spans="1:18" x14ac:dyDescent="0.2">
      <c r="A290" s="1" t="s">
        <v>69</v>
      </c>
      <c r="B290" s="1" t="s">
        <v>10</v>
      </c>
      <c r="C290" s="2">
        <v>41155</v>
      </c>
      <c r="D290" s="1">
        <v>10</v>
      </c>
      <c r="E290" s="1" t="s">
        <v>11</v>
      </c>
      <c r="I290" s="1" t="s">
        <v>12</v>
      </c>
      <c r="J290" s="1" t="s">
        <v>40</v>
      </c>
      <c r="K290" s="1" t="s">
        <v>14</v>
      </c>
      <c r="L290" s="1" t="s">
        <v>12</v>
      </c>
      <c r="M290" s="1" t="s">
        <v>12</v>
      </c>
      <c r="N290" s="1">
        <v>21.12</v>
      </c>
      <c r="O290" s="1" t="s">
        <v>15</v>
      </c>
      <c r="P290" s="1">
        <v>3.4</v>
      </c>
      <c r="Q290" s="1" t="s">
        <v>16</v>
      </c>
      <c r="R290" s="1" t="str">
        <f>IF(N290="","",VLOOKUP(N290,Prior_levels,2,TRUE))</f>
        <v>L</v>
      </c>
    </row>
    <row r="291" spans="1:18" x14ac:dyDescent="0.2">
      <c r="A291" s="1" t="s">
        <v>69</v>
      </c>
      <c r="B291" s="1" t="s">
        <v>10</v>
      </c>
      <c r="C291" s="2">
        <v>41155</v>
      </c>
      <c r="D291" s="1">
        <v>10</v>
      </c>
      <c r="E291" s="1" t="s">
        <v>11</v>
      </c>
      <c r="I291" s="1" t="s">
        <v>12</v>
      </c>
      <c r="J291" s="1" t="s">
        <v>40</v>
      </c>
      <c r="K291" s="1" t="s">
        <v>14</v>
      </c>
      <c r="L291" s="1" t="s">
        <v>12</v>
      </c>
      <c r="M291" s="1" t="s">
        <v>12</v>
      </c>
      <c r="N291" s="1">
        <v>21.12</v>
      </c>
      <c r="O291" s="1" t="s">
        <v>17</v>
      </c>
      <c r="P291" s="1">
        <v>0.56999999999999995</v>
      </c>
      <c r="Q291" s="1" t="s">
        <v>16</v>
      </c>
      <c r="R291" s="1" t="str">
        <f>IF(N291="","",VLOOKUP(N291,Prior_levels,2,TRUE))</f>
        <v>L</v>
      </c>
    </row>
    <row r="292" spans="1:18" x14ac:dyDescent="0.2">
      <c r="A292" s="1" t="s">
        <v>69</v>
      </c>
      <c r="B292" s="1" t="s">
        <v>10</v>
      </c>
      <c r="C292" s="2">
        <v>41155</v>
      </c>
      <c r="D292" s="1">
        <v>10</v>
      </c>
      <c r="E292" s="1" t="s">
        <v>11</v>
      </c>
      <c r="I292" s="1" t="s">
        <v>12</v>
      </c>
      <c r="J292" s="1" t="s">
        <v>40</v>
      </c>
      <c r="K292" s="1" t="s">
        <v>14</v>
      </c>
      <c r="L292" s="1" t="s">
        <v>12</v>
      </c>
      <c r="M292" s="1" t="s">
        <v>12</v>
      </c>
      <c r="N292" s="1">
        <v>21.12</v>
      </c>
      <c r="O292" s="1" t="s">
        <v>18</v>
      </c>
      <c r="P292" s="1">
        <v>8</v>
      </c>
      <c r="Q292" s="1" t="s">
        <v>16</v>
      </c>
      <c r="R292" s="1" t="str">
        <f>IF(N292="","",VLOOKUP(N292,Prior_levels,2,TRUE))</f>
        <v>L</v>
      </c>
    </row>
    <row r="293" spans="1:18" x14ac:dyDescent="0.2">
      <c r="A293" s="1" t="s">
        <v>69</v>
      </c>
      <c r="B293" s="1" t="s">
        <v>10</v>
      </c>
      <c r="C293" s="2">
        <v>41155</v>
      </c>
      <c r="D293" s="1">
        <v>10</v>
      </c>
      <c r="E293" s="1" t="s">
        <v>11</v>
      </c>
      <c r="I293" s="1" t="s">
        <v>12</v>
      </c>
      <c r="J293" s="1" t="s">
        <v>40</v>
      </c>
      <c r="K293" s="1" t="s">
        <v>14</v>
      </c>
      <c r="L293" s="1" t="s">
        <v>12</v>
      </c>
      <c r="M293" s="1" t="s">
        <v>12</v>
      </c>
      <c r="N293" s="1">
        <v>21.12</v>
      </c>
      <c r="O293" s="1" t="s">
        <v>19</v>
      </c>
      <c r="P293" s="1">
        <v>8</v>
      </c>
      <c r="Q293" s="1" t="s">
        <v>16</v>
      </c>
      <c r="R293" s="1" t="str">
        <f>IF(N293="","",VLOOKUP(N293,Prior_levels,2,TRUE))</f>
        <v>L</v>
      </c>
    </row>
    <row r="294" spans="1:18" x14ac:dyDescent="0.2">
      <c r="A294" s="1" t="s">
        <v>69</v>
      </c>
      <c r="B294" s="1" t="s">
        <v>10</v>
      </c>
      <c r="C294" s="2">
        <v>41155</v>
      </c>
      <c r="D294" s="1">
        <v>10</v>
      </c>
      <c r="E294" s="1" t="s">
        <v>11</v>
      </c>
      <c r="I294" s="1" t="s">
        <v>12</v>
      </c>
      <c r="J294" s="1" t="s">
        <v>40</v>
      </c>
      <c r="K294" s="1" t="s">
        <v>14</v>
      </c>
      <c r="L294" s="1" t="s">
        <v>12</v>
      </c>
      <c r="M294" s="1" t="s">
        <v>12</v>
      </c>
      <c r="N294" s="1">
        <v>21.12</v>
      </c>
      <c r="O294" s="1" t="s">
        <v>20</v>
      </c>
      <c r="P294" s="1">
        <v>9</v>
      </c>
      <c r="Q294" s="1" t="s">
        <v>16</v>
      </c>
      <c r="R294" s="1" t="str">
        <f>IF(N294="","",VLOOKUP(N294,Prior_levels,2,TRUE))</f>
        <v>L</v>
      </c>
    </row>
    <row r="295" spans="1:18" x14ac:dyDescent="0.2">
      <c r="A295" s="1" t="s">
        <v>69</v>
      </c>
      <c r="B295" s="1" t="s">
        <v>10</v>
      </c>
      <c r="C295" s="2">
        <v>41155</v>
      </c>
      <c r="D295" s="1">
        <v>10</v>
      </c>
      <c r="E295" s="1" t="s">
        <v>11</v>
      </c>
      <c r="I295" s="1" t="s">
        <v>12</v>
      </c>
      <c r="J295" s="1" t="s">
        <v>40</v>
      </c>
      <c r="K295" s="1" t="s">
        <v>14</v>
      </c>
      <c r="L295" s="1" t="s">
        <v>12</v>
      </c>
      <c r="M295" s="1" t="s">
        <v>12</v>
      </c>
      <c r="N295" s="1">
        <v>21.12</v>
      </c>
      <c r="O295" s="1" t="s">
        <v>21</v>
      </c>
      <c r="P295" s="1">
        <v>9</v>
      </c>
      <c r="Q295" s="1" t="s">
        <v>16</v>
      </c>
      <c r="R295" s="1" t="str">
        <f>IF(N295="","",VLOOKUP(N295,Prior_levels,2,TRUE))</f>
        <v>L</v>
      </c>
    </row>
    <row r="296" spans="1:18" x14ac:dyDescent="0.2">
      <c r="A296" s="1" t="s">
        <v>69</v>
      </c>
      <c r="B296" s="1" t="s">
        <v>10</v>
      </c>
      <c r="C296" s="2">
        <v>41155</v>
      </c>
      <c r="D296" s="1">
        <v>10</v>
      </c>
      <c r="E296" s="1" t="s">
        <v>11</v>
      </c>
      <c r="I296" s="1" t="s">
        <v>12</v>
      </c>
      <c r="J296" s="1" t="s">
        <v>40</v>
      </c>
      <c r="K296" s="1" t="s">
        <v>14</v>
      </c>
      <c r="L296" s="1" t="s">
        <v>12</v>
      </c>
      <c r="M296" s="1" t="s">
        <v>12</v>
      </c>
      <c r="N296" s="1">
        <v>21.12</v>
      </c>
      <c r="O296" s="1" t="s">
        <v>22</v>
      </c>
      <c r="P296" s="1">
        <v>0.34</v>
      </c>
      <c r="Q296" s="1" t="s">
        <v>16</v>
      </c>
      <c r="R296" s="1" t="str">
        <f>IF(N296="","",VLOOKUP(N296,Prior_levels,2,TRUE))</f>
        <v>L</v>
      </c>
    </row>
    <row r="297" spans="1:18" x14ac:dyDescent="0.2">
      <c r="A297" s="1" t="s">
        <v>69</v>
      </c>
      <c r="B297" s="1" t="s">
        <v>10</v>
      </c>
      <c r="C297" s="2">
        <v>41155</v>
      </c>
      <c r="D297" s="1">
        <v>10</v>
      </c>
      <c r="E297" s="1" t="s">
        <v>11</v>
      </c>
      <c r="I297" s="1" t="s">
        <v>12</v>
      </c>
      <c r="J297" s="1" t="s">
        <v>40</v>
      </c>
      <c r="K297" s="1" t="s">
        <v>14</v>
      </c>
      <c r="L297" s="1" t="s">
        <v>12</v>
      </c>
      <c r="M297" s="1" t="s">
        <v>12</v>
      </c>
      <c r="N297" s="1">
        <v>21.12</v>
      </c>
      <c r="O297" s="1" t="s">
        <v>23</v>
      </c>
      <c r="P297" s="1">
        <v>1.39</v>
      </c>
      <c r="Q297" s="1" t="s">
        <v>16</v>
      </c>
      <c r="R297" s="1" t="str">
        <f>IF(N297="","",VLOOKUP(N297,Prior_levels,2,TRUE))</f>
        <v>L</v>
      </c>
    </row>
    <row r="298" spans="1:18" x14ac:dyDescent="0.2">
      <c r="A298" s="1" t="s">
        <v>69</v>
      </c>
      <c r="B298" s="1" t="s">
        <v>10</v>
      </c>
      <c r="C298" s="2">
        <v>41155</v>
      </c>
      <c r="D298" s="1">
        <v>10</v>
      </c>
      <c r="E298" s="1" t="s">
        <v>11</v>
      </c>
      <c r="I298" s="1" t="s">
        <v>12</v>
      </c>
      <c r="J298" s="1" t="s">
        <v>40</v>
      </c>
      <c r="K298" s="1" t="s">
        <v>14</v>
      </c>
      <c r="L298" s="1" t="s">
        <v>12</v>
      </c>
      <c r="M298" s="1" t="s">
        <v>12</v>
      </c>
      <c r="N298" s="1">
        <v>21.12</v>
      </c>
      <c r="O298" s="1" t="s">
        <v>25</v>
      </c>
      <c r="P298" s="1">
        <v>-2.2000000000000002</v>
      </c>
      <c r="Q298" s="1" t="s">
        <v>16</v>
      </c>
      <c r="R298" s="1" t="str">
        <f>IF(N298="","",VLOOKUP(N298,Prior_levels,2,TRUE))</f>
        <v>L</v>
      </c>
    </row>
    <row r="299" spans="1:18" x14ac:dyDescent="0.2">
      <c r="A299" s="1" t="s">
        <v>69</v>
      </c>
      <c r="B299" s="1" t="s">
        <v>10</v>
      </c>
      <c r="C299" s="2">
        <v>41155</v>
      </c>
      <c r="D299" s="1">
        <v>10</v>
      </c>
      <c r="E299" s="1" t="s">
        <v>11</v>
      </c>
      <c r="I299" s="1" t="s">
        <v>12</v>
      </c>
      <c r="J299" s="1" t="s">
        <v>40</v>
      </c>
      <c r="K299" s="1" t="s">
        <v>14</v>
      </c>
      <c r="L299" s="1" t="s">
        <v>12</v>
      </c>
      <c r="M299" s="1" t="s">
        <v>12</v>
      </c>
      <c r="N299" s="1">
        <v>21.12</v>
      </c>
      <c r="O299" s="1" t="s">
        <v>26</v>
      </c>
      <c r="P299" s="1">
        <v>0</v>
      </c>
      <c r="Q299" s="1" t="s">
        <v>16</v>
      </c>
      <c r="R299" s="1" t="str">
        <f>IF(N299="","",VLOOKUP(N299,Prior_levels,2,TRUE))</f>
        <v>L</v>
      </c>
    </row>
    <row r="300" spans="1:18" x14ac:dyDescent="0.2">
      <c r="A300" s="1" t="s">
        <v>69</v>
      </c>
      <c r="B300" s="1" t="s">
        <v>10</v>
      </c>
      <c r="C300" s="2">
        <v>41155</v>
      </c>
      <c r="D300" s="1">
        <v>10</v>
      </c>
      <c r="E300" s="1" t="s">
        <v>11</v>
      </c>
      <c r="I300" s="1" t="s">
        <v>12</v>
      </c>
      <c r="J300" s="1" t="s">
        <v>40</v>
      </c>
      <c r="K300" s="1" t="s">
        <v>14</v>
      </c>
      <c r="L300" s="1" t="s">
        <v>12</v>
      </c>
      <c r="M300" s="1" t="s">
        <v>12</v>
      </c>
      <c r="N300" s="1">
        <v>21.12</v>
      </c>
      <c r="O300" s="1" t="s">
        <v>24</v>
      </c>
      <c r="P300" s="1">
        <v>4.49</v>
      </c>
      <c r="Q300" s="1" t="s">
        <v>16</v>
      </c>
      <c r="R300" s="1" t="str">
        <f>IF(N300="","",VLOOKUP(N300,Prior_levels,2,TRUE))</f>
        <v>L</v>
      </c>
    </row>
    <row r="301" spans="1:18" x14ac:dyDescent="0.2">
      <c r="A301" s="1" t="s">
        <v>69</v>
      </c>
      <c r="B301" s="1" t="s">
        <v>10</v>
      </c>
      <c r="C301" s="2">
        <v>41155</v>
      </c>
      <c r="D301" s="1">
        <v>10</v>
      </c>
      <c r="E301" s="1" t="s">
        <v>11</v>
      </c>
      <c r="I301" s="1" t="s">
        <v>12</v>
      </c>
      <c r="J301" s="1" t="s">
        <v>40</v>
      </c>
      <c r="K301" s="1" t="s">
        <v>14</v>
      </c>
      <c r="L301" s="1" t="s">
        <v>12</v>
      </c>
      <c r="M301" s="1" t="s">
        <v>12</v>
      </c>
      <c r="N301" s="1">
        <v>21.12</v>
      </c>
      <c r="O301" s="1" t="s">
        <v>27</v>
      </c>
      <c r="P301" s="1" t="s">
        <v>28</v>
      </c>
      <c r="Q301" s="1" t="s">
        <v>16</v>
      </c>
      <c r="R301" s="1" t="str">
        <f>IF(N301="","",VLOOKUP(N301,Prior_levels,2,TRUE))</f>
        <v>L</v>
      </c>
    </row>
    <row r="302" spans="1:18" x14ac:dyDescent="0.2">
      <c r="A302" s="1" t="s">
        <v>69</v>
      </c>
      <c r="B302" s="1" t="s">
        <v>10</v>
      </c>
      <c r="C302" s="2">
        <v>41155</v>
      </c>
      <c r="D302" s="1">
        <v>10</v>
      </c>
      <c r="E302" s="1" t="s">
        <v>11</v>
      </c>
      <c r="I302" s="1" t="s">
        <v>12</v>
      </c>
      <c r="J302" s="1" t="s">
        <v>40</v>
      </c>
      <c r="K302" s="1" t="s">
        <v>14</v>
      </c>
      <c r="L302" s="1" t="s">
        <v>12</v>
      </c>
      <c r="M302" s="1" t="s">
        <v>12</v>
      </c>
      <c r="N302" s="1">
        <v>21.12</v>
      </c>
      <c r="O302" s="1" t="s">
        <v>29</v>
      </c>
      <c r="P302" s="1" t="s">
        <v>28</v>
      </c>
      <c r="Q302" s="1" t="s">
        <v>16</v>
      </c>
      <c r="R302" s="1" t="str">
        <f>IF(N302="","",VLOOKUP(N302,Prior_levels,2,TRUE))</f>
        <v>L</v>
      </c>
    </row>
    <row r="303" spans="1:18" x14ac:dyDescent="0.2">
      <c r="A303" s="1" t="s">
        <v>69</v>
      </c>
      <c r="B303" s="1" t="s">
        <v>10</v>
      </c>
      <c r="C303" s="2">
        <v>41155</v>
      </c>
      <c r="D303" s="1">
        <v>10</v>
      </c>
      <c r="E303" s="1" t="s">
        <v>11</v>
      </c>
      <c r="I303" s="1" t="s">
        <v>12</v>
      </c>
      <c r="J303" s="1" t="s">
        <v>40</v>
      </c>
      <c r="K303" s="1" t="s">
        <v>14</v>
      </c>
      <c r="L303" s="1" t="s">
        <v>12</v>
      </c>
      <c r="M303" s="1" t="s">
        <v>12</v>
      </c>
      <c r="N303" s="1">
        <v>21.12</v>
      </c>
      <c r="O303" s="1" t="s">
        <v>30</v>
      </c>
      <c r="P303" s="1" t="s">
        <v>28</v>
      </c>
      <c r="Q303" s="1" t="s">
        <v>16</v>
      </c>
      <c r="R303" s="1" t="str">
        <f>IF(N303="","",VLOOKUP(N303,Prior_levels,2,TRUE))</f>
        <v>L</v>
      </c>
    </row>
    <row r="304" spans="1:18" x14ac:dyDescent="0.2">
      <c r="A304" s="1" t="s">
        <v>69</v>
      </c>
      <c r="B304" s="1" t="s">
        <v>10</v>
      </c>
      <c r="C304" s="2">
        <v>41155</v>
      </c>
      <c r="D304" s="1">
        <v>10</v>
      </c>
      <c r="E304" s="1" t="s">
        <v>11</v>
      </c>
      <c r="I304" s="1" t="s">
        <v>12</v>
      </c>
      <c r="J304" s="1" t="s">
        <v>40</v>
      </c>
      <c r="K304" s="1" t="s">
        <v>14</v>
      </c>
      <c r="L304" s="1" t="s">
        <v>12</v>
      </c>
      <c r="M304" s="1" t="s">
        <v>12</v>
      </c>
      <c r="N304" s="1">
        <v>21.12</v>
      </c>
      <c r="O304" s="1" t="s">
        <v>31</v>
      </c>
      <c r="P304" s="1" t="s">
        <v>28</v>
      </c>
      <c r="Q304" s="1" t="s">
        <v>16</v>
      </c>
      <c r="R304" s="1" t="str">
        <f>IF(N304="","",VLOOKUP(N304,Prior_levels,2,TRUE))</f>
        <v>L</v>
      </c>
    </row>
    <row r="305" spans="1:18" x14ac:dyDescent="0.2">
      <c r="A305" s="1" t="s">
        <v>69</v>
      </c>
      <c r="B305" s="1" t="s">
        <v>10</v>
      </c>
      <c r="C305" s="2">
        <v>41155</v>
      </c>
      <c r="D305" s="1">
        <v>10</v>
      </c>
      <c r="E305" s="1" t="s">
        <v>11</v>
      </c>
      <c r="I305" s="1" t="s">
        <v>12</v>
      </c>
      <c r="J305" s="1" t="s">
        <v>40</v>
      </c>
      <c r="K305" s="1" t="s">
        <v>14</v>
      </c>
      <c r="L305" s="1" t="s">
        <v>12</v>
      </c>
      <c r="M305" s="1" t="s">
        <v>12</v>
      </c>
      <c r="N305" s="1">
        <v>21.12</v>
      </c>
      <c r="O305" s="1" t="s">
        <v>32</v>
      </c>
      <c r="P305" s="1" t="s">
        <v>28</v>
      </c>
      <c r="Q305" s="1" t="s">
        <v>16</v>
      </c>
      <c r="R305" s="1" t="str">
        <f>IF(N305="","",VLOOKUP(N305,Prior_levels,2,TRUE))</f>
        <v>L</v>
      </c>
    </row>
    <row r="306" spans="1:18" x14ac:dyDescent="0.2">
      <c r="A306" s="1" t="s">
        <v>70</v>
      </c>
      <c r="B306" s="1" t="s">
        <v>10</v>
      </c>
      <c r="C306" s="2">
        <v>41155</v>
      </c>
      <c r="D306" s="1">
        <v>10</v>
      </c>
      <c r="E306" s="1" t="s">
        <v>42</v>
      </c>
      <c r="I306" s="1" t="s">
        <v>12</v>
      </c>
      <c r="J306" s="1" t="s">
        <v>13</v>
      </c>
      <c r="K306" s="1" t="s">
        <v>14</v>
      </c>
      <c r="L306" s="1" t="s">
        <v>12</v>
      </c>
      <c r="M306" s="1" t="s">
        <v>12</v>
      </c>
      <c r="N306" s="1">
        <v>12.06</v>
      </c>
      <c r="O306" s="1" t="s">
        <v>15</v>
      </c>
      <c r="P306" s="1">
        <v>2.5</v>
      </c>
      <c r="Q306" s="1" t="s">
        <v>16</v>
      </c>
      <c r="R306" s="1" t="str">
        <f>IF(N306="","",VLOOKUP(N306,Prior_levels,2,TRUE))</f>
        <v>L</v>
      </c>
    </row>
    <row r="307" spans="1:18" x14ac:dyDescent="0.2">
      <c r="A307" s="1" t="s">
        <v>70</v>
      </c>
      <c r="B307" s="1" t="s">
        <v>10</v>
      </c>
      <c r="C307" s="2">
        <v>41155</v>
      </c>
      <c r="D307" s="1">
        <v>10</v>
      </c>
      <c r="E307" s="1" t="s">
        <v>42</v>
      </c>
      <c r="I307" s="1" t="s">
        <v>12</v>
      </c>
      <c r="J307" s="1" t="s">
        <v>13</v>
      </c>
      <c r="K307" s="1" t="s">
        <v>14</v>
      </c>
      <c r="L307" s="1" t="s">
        <v>12</v>
      </c>
      <c r="M307" s="1" t="s">
        <v>12</v>
      </c>
      <c r="N307" s="1">
        <v>12.06</v>
      </c>
      <c r="O307" s="1" t="s">
        <v>17</v>
      </c>
      <c r="P307" s="1">
        <v>0.74</v>
      </c>
      <c r="Q307" s="1" t="s">
        <v>16</v>
      </c>
      <c r="R307" s="1" t="str">
        <f>IF(N307="","",VLOOKUP(N307,Prior_levels,2,TRUE))</f>
        <v>L</v>
      </c>
    </row>
    <row r="308" spans="1:18" x14ac:dyDescent="0.2">
      <c r="A308" s="1" t="s">
        <v>70</v>
      </c>
      <c r="B308" s="1" t="s">
        <v>10</v>
      </c>
      <c r="C308" s="2">
        <v>41155</v>
      </c>
      <c r="D308" s="1">
        <v>10</v>
      </c>
      <c r="E308" s="1" t="s">
        <v>42</v>
      </c>
      <c r="I308" s="1" t="s">
        <v>12</v>
      </c>
      <c r="J308" s="1" t="s">
        <v>13</v>
      </c>
      <c r="K308" s="1" t="s">
        <v>14</v>
      </c>
      <c r="L308" s="1" t="s">
        <v>12</v>
      </c>
      <c r="M308" s="1" t="s">
        <v>12</v>
      </c>
      <c r="N308" s="1">
        <v>12.06</v>
      </c>
      <c r="O308" s="1" t="s">
        <v>18</v>
      </c>
      <c r="P308" s="1">
        <v>6</v>
      </c>
      <c r="Q308" s="1" t="s">
        <v>16</v>
      </c>
      <c r="R308" s="1" t="str">
        <f>IF(N308="","",VLOOKUP(N308,Prior_levels,2,TRUE))</f>
        <v>L</v>
      </c>
    </row>
    <row r="309" spans="1:18" x14ac:dyDescent="0.2">
      <c r="A309" s="1" t="s">
        <v>70</v>
      </c>
      <c r="B309" s="1" t="s">
        <v>10</v>
      </c>
      <c r="C309" s="2">
        <v>41155</v>
      </c>
      <c r="D309" s="1">
        <v>10</v>
      </c>
      <c r="E309" s="1" t="s">
        <v>42</v>
      </c>
      <c r="I309" s="1" t="s">
        <v>12</v>
      </c>
      <c r="J309" s="1" t="s">
        <v>13</v>
      </c>
      <c r="K309" s="1" t="s">
        <v>14</v>
      </c>
      <c r="L309" s="1" t="s">
        <v>12</v>
      </c>
      <c r="M309" s="1" t="s">
        <v>12</v>
      </c>
      <c r="N309" s="1">
        <v>12.06</v>
      </c>
      <c r="O309" s="1" t="s">
        <v>19</v>
      </c>
      <c r="P309" s="1">
        <v>6</v>
      </c>
      <c r="Q309" s="1" t="s">
        <v>16</v>
      </c>
      <c r="R309" s="1" t="str">
        <f>IF(N309="","",VLOOKUP(N309,Prior_levels,2,TRUE))</f>
        <v>L</v>
      </c>
    </row>
    <row r="310" spans="1:18" x14ac:dyDescent="0.2">
      <c r="A310" s="1" t="s">
        <v>70</v>
      </c>
      <c r="B310" s="1" t="s">
        <v>10</v>
      </c>
      <c r="C310" s="2">
        <v>41155</v>
      </c>
      <c r="D310" s="1">
        <v>10</v>
      </c>
      <c r="E310" s="1" t="s">
        <v>42</v>
      </c>
      <c r="I310" s="1" t="s">
        <v>12</v>
      </c>
      <c r="J310" s="1" t="s">
        <v>13</v>
      </c>
      <c r="K310" s="1" t="s">
        <v>14</v>
      </c>
      <c r="L310" s="1" t="s">
        <v>12</v>
      </c>
      <c r="M310" s="1" t="s">
        <v>12</v>
      </c>
      <c r="N310" s="1">
        <v>12.06</v>
      </c>
      <c r="O310" s="1" t="s">
        <v>20</v>
      </c>
      <c r="P310" s="1">
        <v>6</v>
      </c>
      <c r="Q310" s="1" t="s">
        <v>16</v>
      </c>
      <c r="R310" s="1" t="str">
        <f>IF(N310="","",VLOOKUP(N310,Prior_levels,2,TRUE))</f>
        <v>L</v>
      </c>
    </row>
    <row r="311" spans="1:18" x14ac:dyDescent="0.2">
      <c r="A311" s="1" t="s">
        <v>70</v>
      </c>
      <c r="B311" s="1" t="s">
        <v>10</v>
      </c>
      <c r="C311" s="2">
        <v>41155</v>
      </c>
      <c r="D311" s="1">
        <v>10</v>
      </c>
      <c r="E311" s="1" t="s">
        <v>42</v>
      </c>
      <c r="I311" s="1" t="s">
        <v>12</v>
      </c>
      <c r="J311" s="1" t="s">
        <v>13</v>
      </c>
      <c r="K311" s="1" t="s">
        <v>14</v>
      </c>
      <c r="L311" s="1" t="s">
        <v>12</v>
      </c>
      <c r="M311" s="1" t="s">
        <v>12</v>
      </c>
      <c r="N311" s="1">
        <v>12.06</v>
      </c>
      <c r="O311" s="1" t="s">
        <v>21</v>
      </c>
      <c r="P311" s="1">
        <v>7</v>
      </c>
      <c r="Q311" s="1" t="s">
        <v>16</v>
      </c>
      <c r="R311" s="1" t="str">
        <f>IF(N311="","",VLOOKUP(N311,Prior_levels,2,TRUE))</f>
        <v>L</v>
      </c>
    </row>
    <row r="312" spans="1:18" x14ac:dyDescent="0.2">
      <c r="A312" s="1" t="s">
        <v>70</v>
      </c>
      <c r="B312" s="1" t="s">
        <v>10</v>
      </c>
      <c r="C312" s="2">
        <v>41155</v>
      </c>
      <c r="D312" s="1">
        <v>10</v>
      </c>
      <c r="E312" s="1" t="s">
        <v>42</v>
      </c>
      <c r="I312" s="1" t="s">
        <v>12</v>
      </c>
      <c r="J312" s="1" t="s">
        <v>13</v>
      </c>
      <c r="K312" s="1" t="s">
        <v>14</v>
      </c>
      <c r="L312" s="1" t="s">
        <v>12</v>
      </c>
      <c r="M312" s="1" t="s">
        <v>12</v>
      </c>
      <c r="N312" s="1">
        <v>12.06</v>
      </c>
      <c r="O312" s="1" t="s">
        <v>22</v>
      </c>
      <c r="P312" s="1">
        <v>0.66</v>
      </c>
      <c r="Q312" s="1" t="s">
        <v>16</v>
      </c>
      <c r="R312" s="1" t="str">
        <f>IF(N312="","",VLOOKUP(N312,Prior_levels,2,TRUE))</f>
        <v>L</v>
      </c>
    </row>
    <row r="313" spans="1:18" x14ac:dyDescent="0.2">
      <c r="A313" s="1" t="s">
        <v>70</v>
      </c>
      <c r="B313" s="1" t="s">
        <v>10</v>
      </c>
      <c r="C313" s="2">
        <v>41155</v>
      </c>
      <c r="D313" s="1">
        <v>10</v>
      </c>
      <c r="E313" s="1" t="s">
        <v>42</v>
      </c>
      <c r="I313" s="1" t="s">
        <v>12</v>
      </c>
      <c r="J313" s="1" t="s">
        <v>13</v>
      </c>
      <c r="K313" s="1" t="s">
        <v>14</v>
      </c>
      <c r="L313" s="1" t="s">
        <v>12</v>
      </c>
      <c r="M313" s="1" t="s">
        <v>12</v>
      </c>
      <c r="N313" s="1">
        <v>12.06</v>
      </c>
      <c r="O313" s="1" t="s">
        <v>23</v>
      </c>
      <c r="P313" s="1">
        <v>1.76</v>
      </c>
      <c r="Q313" s="1" t="s">
        <v>16</v>
      </c>
      <c r="R313" s="1" t="str">
        <f>IF(N313="","",VLOOKUP(N313,Prior_levels,2,TRUE))</f>
        <v>L</v>
      </c>
    </row>
    <row r="314" spans="1:18" x14ac:dyDescent="0.2">
      <c r="A314" s="1" t="s">
        <v>70</v>
      </c>
      <c r="B314" s="1" t="s">
        <v>10</v>
      </c>
      <c r="C314" s="2">
        <v>41155</v>
      </c>
      <c r="D314" s="1">
        <v>10</v>
      </c>
      <c r="E314" s="1" t="s">
        <v>42</v>
      </c>
      <c r="I314" s="1" t="s">
        <v>12</v>
      </c>
      <c r="J314" s="1" t="s">
        <v>13</v>
      </c>
      <c r="K314" s="1" t="s">
        <v>14</v>
      </c>
      <c r="L314" s="1" t="s">
        <v>12</v>
      </c>
      <c r="M314" s="1" t="s">
        <v>12</v>
      </c>
      <c r="N314" s="1">
        <v>12.06</v>
      </c>
      <c r="O314" s="1" t="s">
        <v>25</v>
      </c>
      <c r="P314" s="1">
        <v>-0.98</v>
      </c>
      <c r="Q314" s="1" t="s">
        <v>16</v>
      </c>
      <c r="R314" s="1" t="str">
        <f>IF(N314="","",VLOOKUP(N314,Prior_levels,2,TRUE))</f>
        <v>L</v>
      </c>
    </row>
    <row r="315" spans="1:18" x14ac:dyDescent="0.2">
      <c r="A315" s="1" t="s">
        <v>70</v>
      </c>
      <c r="B315" s="1" t="s">
        <v>10</v>
      </c>
      <c r="C315" s="2">
        <v>41155</v>
      </c>
      <c r="D315" s="1">
        <v>10</v>
      </c>
      <c r="E315" s="1" t="s">
        <v>42</v>
      </c>
      <c r="I315" s="1" t="s">
        <v>12</v>
      </c>
      <c r="J315" s="1" t="s">
        <v>13</v>
      </c>
      <c r="K315" s="1" t="s">
        <v>14</v>
      </c>
      <c r="L315" s="1" t="s">
        <v>12</v>
      </c>
      <c r="M315" s="1" t="s">
        <v>12</v>
      </c>
      <c r="N315" s="1">
        <v>12.06</v>
      </c>
      <c r="O315" s="1" t="s">
        <v>26</v>
      </c>
      <c r="P315" s="1">
        <v>0</v>
      </c>
      <c r="Q315" s="1" t="s">
        <v>16</v>
      </c>
      <c r="R315" s="1" t="str">
        <f>IF(N315="","",VLOOKUP(N315,Prior_levels,2,TRUE))</f>
        <v>L</v>
      </c>
    </row>
    <row r="316" spans="1:18" x14ac:dyDescent="0.2">
      <c r="A316" s="1" t="s">
        <v>70</v>
      </c>
      <c r="B316" s="1" t="s">
        <v>10</v>
      </c>
      <c r="C316" s="2">
        <v>41155</v>
      </c>
      <c r="D316" s="1">
        <v>10</v>
      </c>
      <c r="E316" s="1" t="s">
        <v>42</v>
      </c>
      <c r="I316" s="1" t="s">
        <v>12</v>
      </c>
      <c r="J316" s="1" t="s">
        <v>13</v>
      </c>
      <c r="K316" s="1" t="s">
        <v>14</v>
      </c>
      <c r="L316" s="1" t="s">
        <v>12</v>
      </c>
      <c r="M316" s="1" t="s">
        <v>12</v>
      </c>
      <c r="N316" s="1">
        <v>12.06</v>
      </c>
      <c r="O316" s="1" t="s">
        <v>24</v>
      </c>
      <c r="P316" s="1">
        <v>3.56</v>
      </c>
      <c r="Q316" s="1" t="s">
        <v>16</v>
      </c>
      <c r="R316" s="1" t="str">
        <f>IF(N316="","",VLOOKUP(N316,Prior_levels,2,TRUE))</f>
        <v>L</v>
      </c>
    </row>
    <row r="317" spans="1:18" x14ac:dyDescent="0.2">
      <c r="A317" s="1" t="s">
        <v>70</v>
      </c>
      <c r="B317" s="1" t="s">
        <v>10</v>
      </c>
      <c r="C317" s="2">
        <v>41155</v>
      </c>
      <c r="D317" s="1">
        <v>10</v>
      </c>
      <c r="E317" s="1" t="s">
        <v>42</v>
      </c>
      <c r="I317" s="1" t="s">
        <v>12</v>
      </c>
      <c r="J317" s="1" t="s">
        <v>13</v>
      </c>
      <c r="K317" s="1" t="s">
        <v>14</v>
      </c>
      <c r="L317" s="1" t="s">
        <v>12</v>
      </c>
      <c r="M317" s="1" t="s">
        <v>12</v>
      </c>
      <c r="N317" s="1">
        <v>12.06</v>
      </c>
      <c r="O317" s="1" t="s">
        <v>27</v>
      </c>
      <c r="P317" s="1" t="s">
        <v>28</v>
      </c>
      <c r="Q317" s="1" t="s">
        <v>16</v>
      </c>
      <c r="R317" s="1" t="str">
        <f>IF(N317="","",VLOOKUP(N317,Prior_levels,2,TRUE))</f>
        <v>L</v>
      </c>
    </row>
    <row r="318" spans="1:18" x14ac:dyDescent="0.2">
      <c r="A318" s="1" t="s">
        <v>70</v>
      </c>
      <c r="B318" s="1" t="s">
        <v>10</v>
      </c>
      <c r="C318" s="2">
        <v>41155</v>
      </c>
      <c r="D318" s="1">
        <v>10</v>
      </c>
      <c r="E318" s="1" t="s">
        <v>42</v>
      </c>
      <c r="I318" s="1" t="s">
        <v>12</v>
      </c>
      <c r="J318" s="1" t="s">
        <v>13</v>
      </c>
      <c r="K318" s="1" t="s">
        <v>14</v>
      </c>
      <c r="L318" s="1" t="s">
        <v>12</v>
      </c>
      <c r="M318" s="1" t="s">
        <v>12</v>
      </c>
      <c r="N318" s="1">
        <v>12.06</v>
      </c>
      <c r="O318" s="1" t="s">
        <v>29</v>
      </c>
      <c r="P318" s="1" t="s">
        <v>28</v>
      </c>
      <c r="Q318" s="1" t="s">
        <v>16</v>
      </c>
      <c r="R318" s="1" t="str">
        <f>IF(N318="","",VLOOKUP(N318,Prior_levels,2,TRUE))</f>
        <v>L</v>
      </c>
    </row>
    <row r="319" spans="1:18" x14ac:dyDescent="0.2">
      <c r="A319" s="1" t="s">
        <v>70</v>
      </c>
      <c r="B319" s="1" t="s">
        <v>10</v>
      </c>
      <c r="C319" s="2">
        <v>41155</v>
      </c>
      <c r="D319" s="1">
        <v>10</v>
      </c>
      <c r="E319" s="1" t="s">
        <v>42</v>
      </c>
      <c r="I319" s="1" t="s">
        <v>12</v>
      </c>
      <c r="J319" s="1" t="s">
        <v>13</v>
      </c>
      <c r="K319" s="1" t="s">
        <v>14</v>
      </c>
      <c r="L319" s="1" t="s">
        <v>12</v>
      </c>
      <c r="M319" s="1" t="s">
        <v>12</v>
      </c>
      <c r="N319" s="1">
        <v>12.06</v>
      </c>
      <c r="O319" s="1" t="s">
        <v>30</v>
      </c>
      <c r="P319" s="1" t="s">
        <v>28</v>
      </c>
      <c r="Q319" s="1" t="s">
        <v>16</v>
      </c>
      <c r="R319" s="1" t="str">
        <f>IF(N319="","",VLOOKUP(N319,Prior_levels,2,TRUE))</f>
        <v>L</v>
      </c>
    </row>
    <row r="320" spans="1:18" x14ac:dyDescent="0.2">
      <c r="A320" s="1" t="s">
        <v>70</v>
      </c>
      <c r="B320" s="1" t="s">
        <v>10</v>
      </c>
      <c r="C320" s="2">
        <v>41155</v>
      </c>
      <c r="D320" s="1">
        <v>10</v>
      </c>
      <c r="E320" s="1" t="s">
        <v>42</v>
      </c>
      <c r="I320" s="1" t="s">
        <v>12</v>
      </c>
      <c r="J320" s="1" t="s">
        <v>13</v>
      </c>
      <c r="K320" s="1" t="s">
        <v>14</v>
      </c>
      <c r="L320" s="1" t="s">
        <v>12</v>
      </c>
      <c r="M320" s="1" t="s">
        <v>12</v>
      </c>
      <c r="N320" s="1">
        <v>12.06</v>
      </c>
      <c r="O320" s="1" t="s">
        <v>31</v>
      </c>
      <c r="P320" s="1" t="s">
        <v>28</v>
      </c>
      <c r="Q320" s="1" t="s">
        <v>16</v>
      </c>
      <c r="R320" s="1" t="str">
        <f>IF(N320="","",VLOOKUP(N320,Prior_levels,2,TRUE))</f>
        <v>L</v>
      </c>
    </row>
    <row r="321" spans="1:18" x14ac:dyDescent="0.2">
      <c r="A321" s="1" t="s">
        <v>70</v>
      </c>
      <c r="B321" s="1" t="s">
        <v>10</v>
      </c>
      <c r="C321" s="2">
        <v>41155</v>
      </c>
      <c r="D321" s="1">
        <v>10</v>
      </c>
      <c r="E321" s="1" t="s">
        <v>42</v>
      </c>
      <c r="I321" s="1" t="s">
        <v>12</v>
      </c>
      <c r="J321" s="1" t="s">
        <v>13</v>
      </c>
      <c r="K321" s="1" t="s">
        <v>14</v>
      </c>
      <c r="L321" s="1" t="s">
        <v>12</v>
      </c>
      <c r="M321" s="1" t="s">
        <v>12</v>
      </c>
      <c r="N321" s="1">
        <v>12.06</v>
      </c>
      <c r="O321" s="1" t="s">
        <v>32</v>
      </c>
      <c r="P321" s="1" t="s">
        <v>28</v>
      </c>
      <c r="Q321" s="1" t="s">
        <v>16</v>
      </c>
      <c r="R321" s="1" t="str">
        <f>IF(N321="","",VLOOKUP(N321,Prior_levels,2,TRUE))</f>
        <v>L</v>
      </c>
    </row>
    <row r="322" spans="1:18" x14ac:dyDescent="0.2">
      <c r="A322" s="1" t="s">
        <v>71</v>
      </c>
      <c r="B322" s="1" t="s">
        <v>10</v>
      </c>
      <c r="C322" s="2">
        <v>41155</v>
      </c>
      <c r="D322" s="1">
        <v>10</v>
      </c>
      <c r="E322" s="1" t="s">
        <v>42</v>
      </c>
      <c r="I322" s="1" t="s">
        <v>12</v>
      </c>
      <c r="J322" s="1" t="s">
        <v>13</v>
      </c>
      <c r="K322" s="1" t="s">
        <v>14</v>
      </c>
      <c r="L322" s="1" t="s">
        <v>12</v>
      </c>
      <c r="M322" s="1" t="s">
        <v>12</v>
      </c>
      <c r="N322" s="1">
        <v>33.18</v>
      </c>
      <c r="O322" s="1" t="s">
        <v>15</v>
      </c>
      <c r="P322" s="1">
        <v>4.95</v>
      </c>
      <c r="Q322" s="1" t="s">
        <v>16</v>
      </c>
      <c r="R322" s="1" t="str">
        <f>IF(N322="","",VLOOKUP(N322,Prior_levels,2,TRUE))</f>
        <v>H</v>
      </c>
    </row>
    <row r="323" spans="1:18" x14ac:dyDescent="0.2">
      <c r="A323" s="1" t="s">
        <v>71</v>
      </c>
      <c r="B323" s="1" t="s">
        <v>10</v>
      </c>
      <c r="C323" s="2">
        <v>41155</v>
      </c>
      <c r="D323" s="1">
        <v>10</v>
      </c>
      <c r="E323" s="1" t="s">
        <v>42</v>
      </c>
      <c r="I323" s="1" t="s">
        <v>12</v>
      </c>
      <c r="J323" s="1" t="s">
        <v>13</v>
      </c>
      <c r="K323" s="1" t="s">
        <v>14</v>
      </c>
      <c r="L323" s="1" t="s">
        <v>12</v>
      </c>
      <c r="M323" s="1" t="s">
        <v>12</v>
      </c>
      <c r="N323" s="1">
        <v>33.18</v>
      </c>
      <c r="O323" s="1" t="s">
        <v>17</v>
      </c>
      <c r="P323" s="1">
        <v>-1.6</v>
      </c>
      <c r="Q323" s="1" t="s">
        <v>16</v>
      </c>
      <c r="R323" s="1" t="str">
        <f>IF(N323="","",VLOOKUP(N323,Prior_levels,2,TRUE))</f>
        <v>H</v>
      </c>
    </row>
    <row r="324" spans="1:18" x14ac:dyDescent="0.2">
      <c r="A324" s="1" t="s">
        <v>71</v>
      </c>
      <c r="B324" s="1" t="s">
        <v>10</v>
      </c>
      <c r="C324" s="2">
        <v>41155</v>
      </c>
      <c r="D324" s="1">
        <v>10</v>
      </c>
      <c r="E324" s="1" t="s">
        <v>42</v>
      </c>
      <c r="I324" s="1" t="s">
        <v>12</v>
      </c>
      <c r="J324" s="1" t="s">
        <v>13</v>
      </c>
      <c r="K324" s="1" t="s">
        <v>14</v>
      </c>
      <c r="L324" s="1" t="s">
        <v>12</v>
      </c>
      <c r="M324" s="1" t="s">
        <v>12</v>
      </c>
      <c r="N324" s="1">
        <v>33.18</v>
      </c>
      <c r="O324" s="1" t="s">
        <v>18</v>
      </c>
      <c r="P324" s="1">
        <v>12</v>
      </c>
      <c r="Q324" s="1" t="s">
        <v>16</v>
      </c>
      <c r="R324" s="1" t="str">
        <f>IF(N324="","",VLOOKUP(N324,Prior_levels,2,TRUE))</f>
        <v>H</v>
      </c>
    </row>
    <row r="325" spans="1:18" x14ac:dyDescent="0.2">
      <c r="A325" s="1" t="s">
        <v>71</v>
      </c>
      <c r="B325" s="1" t="s">
        <v>10</v>
      </c>
      <c r="C325" s="2">
        <v>41155</v>
      </c>
      <c r="D325" s="1">
        <v>10</v>
      </c>
      <c r="E325" s="1" t="s">
        <v>42</v>
      </c>
      <c r="I325" s="1" t="s">
        <v>12</v>
      </c>
      <c r="J325" s="1" t="s">
        <v>13</v>
      </c>
      <c r="K325" s="1" t="s">
        <v>14</v>
      </c>
      <c r="L325" s="1" t="s">
        <v>12</v>
      </c>
      <c r="M325" s="1" t="s">
        <v>12</v>
      </c>
      <c r="N325" s="1">
        <v>33.18</v>
      </c>
      <c r="O325" s="1" t="s">
        <v>19</v>
      </c>
      <c r="P325" s="1">
        <v>10</v>
      </c>
      <c r="Q325" s="1" t="s">
        <v>16</v>
      </c>
      <c r="R325" s="1" t="str">
        <f>IF(N325="","",VLOOKUP(N325,Prior_levels,2,TRUE))</f>
        <v>H</v>
      </c>
    </row>
    <row r="326" spans="1:18" x14ac:dyDescent="0.2">
      <c r="A326" s="1" t="s">
        <v>71</v>
      </c>
      <c r="B326" s="1" t="s">
        <v>10</v>
      </c>
      <c r="C326" s="2">
        <v>41155</v>
      </c>
      <c r="D326" s="1">
        <v>10</v>
      </c>
      <c r="E326" s="1" t="s">
        <v>42</v>
      </c>
      <c r="I326" s="1" t="s">
        <v>12</v>
      </c>
      <c r="J326" s="1" t="s">
        <v>13</v>
      </c>
      <c r="K326" s="1" t="s">
        <v>14</v>
      </c>
      <c r="L326" s="1" t="s">
        <v>12</v>
      </c>
      <c r="M326" s="1" t="s">
        <v>12</v>
      </c>
      <c r="N326" s="1">
        <v>33.18</v>
      </c>
      <c r="O326" s="1" t="s">
        <v>20</v>
      </c>
      <c r="P326" s="1">
        <v>13.5</v>
      </c>
      <c r="Q326" s="1" t="s">
        <v>16</v>
      </c>
      <c r="R326" s="1" t="str">
        <f>IF(N326="","",VLOOKUP(N326,Prior_levels,2,TRUE))</f>
        <v>H</v>
      </c>
    </row>
    <row r="327" spans="1:18" x14ac:dyDescent="0.2">
      <c r="A327" s="1" t="s">
        <v>71</v>
      </c>
      <c r="B327" s="1" t="s">
        <v>10</v>
      </c>
      <c r="C327" s="2">
        <v>41155</v>
      </c>
      <c r="D327" s="1">
        <v>10</v>
      </c>
      <c r="E327" s="1" t="s">
        <v>42</v>
      </c>
      <c r="I327" s="1" t="s">
        <v>12</v>
      </c>
      <c r="J327" s="1" t="s">
        <v>13</v>
      </c>
      <c r="K327" s="1" t="s">
        <v>14</v>
      </c>
      <c r="L327" s="1" t="s">
        <v>12</v>
      </c>
      <c r="M327" s="1" t="s">
        <v>12</v>
      </c>
      <c r="N327" s="1">
        <v>33.18</v>
      </c>
      <c r="O327" s="1" t="s">
        <v>21</v>
      </c>
      <c r="P327" s="1">
        <v>14</v>
      </c>
      <c r="Q327" s="1" t="s">
        <v>16</v>
      </c>
      <c r="R327" s="1" t="str">
        <f>IF(N327="","",VLOOKUP(N327,Prior_levels,2,TRUE))</f>
        <v>H</v>
      </c>
    </row>
    <row r="328" spans="1:18" x14ac:dyDescent="0.2">
      <c r="A328" s="1" t="s">
        <v>71</v>
      </c>
      <c r="B328" s="1" t="s">
        <v>10</v>
      </c>
      <c r="C328" s="2">
        <v>41155</v>
      </c>
      <c r="D328" s="1">
        <v>10</v>
      </c>
      <c r="E328" s="1" t="s">
        <v>42</v>
      </c>
      <c r="I328" s="1" t="s">
        <v>12</v>
      </c>
      <c r="J328" s="1" t="s">
        <v>13</v>
      </c>
      <c r="K328" s="1" t="s">
        <v>14</v>
      </c>
      <c r="L328" s="1" t="s">
        <v>12</v>
      </c>
      <c r="M328" s="1" t="s">
        <v>12</v>
      </c>
      <c r="N328" s="1">
        <v>33.18</v>
      </c>
      <c r="O328" s="1" t="s">
        <v>22</v>
      </c>
      <c r="P328" s="1">
        <v>-0.64</v>
      </c>
      <c r="Q328" s="1" t="s">
        <v>16</v>
      </c>
      <c r="R328" s="1" t="str">
        <f>IF(N328="","",VLOOKUP(N328,Prior_levels,2,TRUE))</f>
        <v>H</v>
      </c>
    </row>
    <row r="329" spans="1:18" x14ac:dyDescent="0.2">
      <c r="A329" s="1" t="s">
        <v>71</v>
      </c>
      <c r="B329" s="1" t="s">
        <v>10</v>
      </c>
      <c r="C329" s="2">
        <v>41155</v>
      </c>
      <c r="D329" s="1">
        <v>10</v>
      </c>
      <c r="E329" s="1" t="s">
        <v>42</v>
      </c>
      <c r="I329" s="1" t="s">
        <v>12</v>
      </c>
      <c r="J329" s="1" t="s">
        <v>13</v>
      </c>
      <c r="K329" s="1" t="s">
        <v>14</v>
      </c>
      <c r="L329" s="1" t="s">
        <v>12</v>
      </c>
      <c r="M329" s="1" t="s">
        <v>12</v>
      </c>
      <c r="N329" s="1">
        <v>33.18</v>
      </c>
      <c r="O329" s="1" t="s">
        <v>23</v>
      </c>
      <c r="P329" s="1">
        <v>-1.66</v>
      </c>
      <c r="Q329" s="1" t="s">
        <v>16</v>
      </c>
      <c r="R329" s="1" t="str">
        <f>IF(N329="","",VLOOKUP(N329,Prior_levels,2,TRUE))</f>
        <v>H</v>
      </c>
    </row>
    <row r="330" spans="1:18" x14ac:dyDescent="0.2">
      <c r="A330" s="1" t="s">
        <v>71</v>
      </c>
      <c r="B330" s="1" t="s">
        <v>10</v>
      </c>
      <c r="C330" s="2">
        <v>41155</v>
      </c>
      <c r="D330" s="1">
        <v>10</v>
      </c>
      <c r="E330" s="1" t="s">
        <v>42</v>
      </c>
      <c r="I330" s="1" t="s">
        <v>12</v>
      </c>
      <c r="J330" s="1" t="s">
        <v>13</v>
      </c>
      <c r="K330" s="1" t="s">
        <v>14</v>
      </c>
      <c r="L330" s="1" t="s">
        <v>12</v>
      </c>
      <c r="M330" s="1" t="s">
        <v>12</v>
      </c>
      <c r="N330" s="1">
        <v>33.18</v>
      </c>
      <c r="O330" s="1" t="s">
        <v>25</v>
      </c>
      <c r="P330" s="1">
        <v>-5.62</v>
      </c>
      <c r="Q330" s="1" t="s">
        <v>16</v>
      </c>
      <c r="R330" s="1" t="str">
        <f>IF(N330="","",VLOOKUP(N330,Prior_levels,2,TRUE))</f>
        <v>H</v>
      </c>
    </row>
    <row r="331" spans="1:18" x14ac:dyDescent="0.2">
      <c r="A331" s="1" t="s">
        <v>71</v>
      </c>
      <c r="B331" s="1" t="s">
        <v>10</v>
      </c>
      <c r="C331" s="2">
        <v>41155</v>
      </c>
      <c r="D331" s="1">
        <v>10</v>
      </c>
      <c r="E331" s="1" t="s">
        <v>42</v>
      </c>
      <c r="I331" s="1" t="s">
        <v>12</v>
      </c>
      <c r="J331" s="1" t="s">
        <v>13</v>
      </c>
      <c r="K331" s="1" t="s">
        <v>14</v>
      </c>
      <c r="L331" s="1" t="s">
        <v>12</v>
      </c>
      <c r="M331" s="1" t="s">
        <v>12</v>
      </c>
      <c r="N331" s="1">
        <v>33.18</v>
      </c>
      <c r="O331" s="1" t="s">
        <v>26</v>
      </c>
      <c r="P331" s="1">
        <v>12</v>
      </c>
      <c r="Q331" s="1" t="s">
        <v>16</v>
      </c>
      <c r="R331" s="1" t="str">
        <f>IF(N331="","",VLOOKUP(N331,Prior_levels,2,TRUE))</f>
        <v>H</v>
      </c>
    </row>
    <row r="332" spans="1:18" x14ac:dyDescent="0.2">
      <c r="A332" s="1" t="s">
        <v>71</v>
      </c>
      <c r="B332" s="1" t="s">
        <v>10</v>
      </c>
      <c r="C332" s="2">
        <v>41155</v>
      </c>
      <c r="D332" s="1">
        <v>10</v>
      </c>
      <c r="E332" s="1" t="s">
        <v>42</v>
      </c>
      <c r="I332" s="1" t="s">
        <v>12</v>
      </c>
      <c r="J332" s="1" t="s">
        <v>13</v>
      </c>
      <c r="K332" s="1" t="s">
        <v>14</v>
      </c>
      <c r="L332" s="1" t="s">
        <v>12</v>
      </c>
      <c r="M332" s="1" t="s">
        <v>12</v>
      </c>
      <c r="N332" s="1">
        <v>33.18</v>
      </c>
      <c r="O332" s="1" t="s">
        <v>24</v>
      </c>
      <c r="P332" s="1">
        <v>-5.77</v>
      </c>
      <c r="Q332" s="1" t="s">
        <v>16</v>
      </c>
      <c r="R332" s="1" t="str">
        <f>IF(N332="","",VLOOKUP(N332,Prior_levels,2,TRUE))</f>
        <v>H</v>
      </c>
    </row>
    <row r="333" spans="1:18" x14ac:dyDescent="0.2">
      <c r="A333" s="1" t="s">
        <v>71</v>
      </c>
      <c r="B333" s="1" t="s">
        <v>10</v>
      </c>
      <c r="C333" s="2">
        <v>41155</v>
      </c>
      <c r="D333" s="1">
        <v>10</v>
      </c>
      <c r="E333" s="1" t="s">
        <v>42</v>
      </c>
      <c r="I333" s="1" t="s">
        <v>12</v>
      </c>
      <c r="J333" s="1" t="s">
        <v>13</v>
      </c>
      <c r="K333" s="1" t="s">
        <v>14</v>
      </c>
      <c r="L333" s="1" t="s">
        <v>12</v>
      </c>
      <c r="M333" s="1" t="s">
        <v>12</v>
      </c>
      <c r="N333" s="1">
        <v>33.18</v>
      </c>
      <c r="O333" s="1" t="s">
        <v>32</v>
      </c>
      <c r="P333" s="1" t="s">
        <v>37</v>
      </c>
      <c r="Q333" s="1" t="s">
        <v>16</v>
      </c>
      <c r="R333" s="1" t="str">
        <f>IF(N333="","",VLOOKUP(N333,Prior_levels,2,TRUE))</f>
        <v>H</v>
      </c>
    </row>
    <row r="334" spans="1:18" x14ac:dyDescent="0.2">
      <c r="A334" s="1" t="s">
        <v>71</v>
      </c>
      <c r="B334" s="1" t="s">
        <v>10</v>
      </c>
      <c r="C334" s="2">
        <v>41155</v>
      </c>
      <c r="D334" s="1">
        <v>10</v>
      </c>
      <c r="E334" s="1" t="s">
        <v>42</v>
      </c>
      <c r="I334" s="1" t="s">
        <v>12</v>
      </c>
      <c r="J334" s="1" t="s">
        <v>13</v>
      </c>
      <c r="K334" s="1" t="s">
        <v>14</v>
      </c>
      <c r="L334" s="1" t="s">
        <v>12</v>
      </c>
      <c r="M334" s="1" t="s">
        <v>12</v>
      </c>
      <c r="N334" s="1">
        <v>33.18</v>
      </c>
      <c r="O334" s="1" t="s">
        <v>27</v>
      </c>
      <c r="P334" s="1" t="s">
        <v>37</v>
      </c>
      <c r="Q334" s="1" t="s">
        <v>16</v>
      </c>
      <c r="R334" s="1" t="str">
        <f>IF(N334="","",VLOOKUP(N334,Prior_levels,2,TRUE))</f>
        <v>H</v>
      </c>
    </row>
    <row r="335" spans="1:18" x14ac:dyDescent="0.2">
      <c r="A335" s="1" t="s">
        <v>71</v>
      </c>
      <c r="B335" s="1" t="s">
        <v>10</v>
      </c>
      <c r="C335" s="2">
        <v>41155</v>
      </c>
      <c r="D335" s="1">
        <v>10</v>
      </c>
      <c r="E335" s="1" t="s">
        <v>42</v>
      </c>
      <c r="I335" s="1" t="s">
        <v>12</v>
      </c>
      <c r="J335" s="1" t="s">
        <v>13</v>
      </c>
      <c r="K335" s="1" t="s">
        <v>14</v>
      </c>
      <c r="L335" s="1" t="s">
        <v>12</v>
      </c>
      <c r="M335" s="1" t="s">
        <v>12</v>
      </c>
      <c r="N335" s="1">
        <v>33.18</v>
      </c>
      <c r="O335" s="1" t="s">
        <v>29</v>
      </c>
      <c r="P335" s="1" t="s">
        <v>37</v>
      </c>
      <c r="Q335" s="1" t="s">
        <v>16</v>
      </c>
      <c r="R335" s="1" t="str">
        <f>IF(N335="","",VLOOKUP(N335,Prior_levels,2,TRUE))</f>
        <v>H</v>
      </c>
    </row>
    <row r="336" spans="1:18" x14ac:dyDescent="0.2">
      <c r="A336" s="1" t="s">
        <v>71</v>
      </c>
      <c r="B336" s="1" t="s">
        <v>10</v>
      </c>
      <c r="C336" s="2">
        <v>41155</v>
      </c>
      <c r="D336" s="1">
        <v>10</v>
      </c>
      <c r="E336" s="1" t="s">
        <v>42</v>
      </c>
      <c r="I336" s="1" t="s">
        <v>12</v>
      </c>
      <c r="J336" s="1" t="s">
        <v>13</v>
      </c>
      <c r="K336" s="1" t="s">
        <v>14</v>
      </c>
      <c r="L336" s="1" t="s">
        <v>12</v>
      </c>
      <c r="M336" s="1" t="s">
        <v>12</v>
      </c>
      <c r="N336" s="1">
        <v>33.18</v>
      </c>
      <c r="O336" s="1" t="s">
        <v>30</v>
      </c>
      <c r="P336" s="1" t="s">
        <v>37</v>
      </c>
      <c r="Q336" s="1" t="s">
        <v>16</v>
      </c>
      <c r="R336" s="1" t="str">
        <f>IF(N336="","",VLOOKUP(N336,Prior_levels,2,TRUE))</f>
        <v>H</v>
      </c>
    </row>
    <row r="337" spans="1:18" x14ac:dyDescent="0.2">
      <c r="A337" s="1" t="s">
        <v>71</v>
      </c>
      <c r="B337" s="1" t="s">
        <v>10</v>
      </c>
      <c r="C337" s="2">
        <v>41155</v>
      </c>
      <c r="D337" s="1">
        <v>10</v>
      </c>
      <c r="E337" s="1" t="s">
        <v>42</v>
      </c>
      <c r="I337" s="1" t="s">
        <v>12</v>
      </c>
      <c r="J337" s="1" t="s">
        <v>13</v>
      </c>
      <c r="K337" s="1" t="s">
        <v>14</v>
      </c>
      <c r="L337" s="1" t="s">
        <v>12</v>
      </c>
      <c r="M337" s="1" t="s">
        <v>12</v>
      </c>
      <c r="N337" s="1">
        <v>33.18</v>
      </c>
      <c r="O337" s="1" t="s">
        <v>31</v>
      </c>
      <c r="P337" s="1" t="s">
        <v>37</v>
      </c>
      <c r="Q337" s="1" t="s">
        <v>16</v>
      </c>
      <c r="R337" s="1" t="str">
        <f>IF(N337="","",VLOOKUP(N337,Prior_levels,2,TRUE))</f>
        <v>H</v>
      </c>
    </row>
    <row r="338" spans="1:18" x14ac:dyDescent="0.2">
      <c r="A338" s="1" t="s">
        <v>72</v>
      </c>
      <c r="B338" s="1" t="s">
        <v>10</v>
      </c>
      <c r="C338" s="2">
        <v>41155</v>
      </c>
      <c r="D338" s="1">
        <v>10</v>
      </c>
      <c r="E338" s="1" t="s">
        <v>11</v>
      </c>
      <c r="I338" s="1" t="s">
        <v>12</v>
      </c>
      <c r="J338" s="1" t="s">
        <v>13</v>
      </c>
      <c r="K338" s="1" t="s">
        <v>14</v>
      </c>
      <c r="L338" s="1" t="s">
        <v>12</v>
      </c>
      <c r="M338" s="1" t="s">
        <v>12</v>
      </c>
      <c r="N338" s="1">
        <v>21.12</v>
      </c>
      <c r="O338" s="1" t="s">
        <v>15</v>
      </c>
      <c r="P338" s="1">
        <v>2.5</v>
      </c>
      <c r="Q338" s="1" t="s">
        <v>16</v>
      </c>
      <c r="R338" s="1" t="str">
        <f>IF(N338="","",VLOOKUP(N338,Prior_levels,2,TRUE))</f>
        <v>L</v>
      </c>
    </row>
    <row r="339" spans="1:18" x14ac:dyDescent="0.2">
      <c r="A339" s="1" t="s">
        <v>72</v>
      </c>
      <c r="B339" s="1" t="s">
        <v>10</v>
      </c>
      <c r="C339" s="2">
        <v>41155</v>
      </c>
      <c r="D339" s="1">
        <v>10</v>
      </c>
      <c r="E339" s="1" t="s">
        <v>11</v>
      </c>
      <c r="I339" s="1" t="s">
        <v>12</v>
      </c>
      <c r="J339" s="1" t="s">
        <v>13</v>
      </c>
      <c r="K339" s="1" t="s">
        <v>14</v>
      </c>
      <c r="L339" s="1" t="s">
        <v>12</v>
      </c>
      <c r="M339" s="1" t="s">
        <v>12</v>
      </c>
      <c r="N339" s="1">
        <v>21.12</v>
      </c>
      <c r="O339" s="1" t="s">
        <v>17</v>
      </c>
      <c r="P339" s="1">
        <v>-0.33</v>
      </c>
      <c r="Q339" s="1" t="s">
        <v>16</v>
      </c>
      <c r="R339" s="1" t="str">
        <f>IF(N339="","",VLOOKUP(N339,Prior_levels,2,TRUE))</f>
        <v>L</v>
      </c>
    </row>
    <row r="340" spans="1:18" x14ac:dyDescent="0.2">
      <c r="A340" s="1" t="s">
        <v>72</v>
      </c>
      <c r="B340" s="1" t="s">
        <v>10</v>
      </c>
      <c r="C340" s="2">
        <v>41155</v>
      </c>
      <c r="D340" s="1">
        <v>10</v>
      </c>
      <c r="E340" s="1" t="s">
        <v>11</v>
      </c>
      <c r="I340" s="1" t="s">
        <v>12</v>
      </c>
      <c r="J340" s="1" t="s">
        <v>13</v>
      </c>
      <c r="K340" s="1" t="s">
        <v>14</v>
      </c>
      <c r="L340" s="1" t="s">
        <v>12</v>
      </c>
      <c r="M340" s="1" t="s">
        <v>12</v>
      </c>
      <c r="N340" s="1">
        <v>21.12</v>
      </c>
      <c r="O340" s="1" t="s">
        <v>18</v>
      </c>
      <c r="P340" s="1">
        <v>6</v>
      </c>
      <c r="Q340" s="1" t="s">
        <v>16</v>
      </c>
      <c r="R340" s="1" t="str">
        <f>IF(N340="","",VLOOKUP(N340,Prior_levels,2,TRUE))</f>
        <v>L</v>
      </c>
    </row>
    <row r="341" spans="1:18" x14ac:dyDescent="0.2">
      <c r="A341" s="1" t="s">
        <v>72</v>
      </c>
      <c r="B341" s="1" t="s">
        <v>10</v>
      </c>
      <c r="C341" s="2">
        <v>41155</v>
      </c>
      <c r="D341" s="1">
        <v>10</v>
      </c>
      <c r="E341" s="1" t="s">
        <v>11</v>
      </c>
      <c r="I341" s="1" t="s">
        <v>12</v>
      </c>
      <c r="J341" s="1" t="s">
        <v>13</v>
      </c>
      <c r="K341" s="1" t="s">
        <v>14</v>
      </c>
      <c r="L341" s="1" t="s">
        <v>12</v>
      </c>
      <c r="M341" s="1" t="s">
        <v>12</v>
      </c>
      <c r="N341" s="1">
        <v>21.12</v>
      </c>
      <c r="O341" s="1" t="s">
        <v>19</v>
      </c>
      <c r="P341" s="1">
        <v>6</v>
      </c>
      <c r="Q341" s="1" t="s">
        <v>16</v>
      </c>
      <c r="R341" s="1" t="str">
        <f>IF(N341="","",VLOOKUP(N341,Prior_levels,2,TRUE))</f>
        <v>L</v>
      </c>
    </row>
    <row r="342" spans="1:18" x14ac:dyDescent="0.2">
      <c r="A342" s="1" t="s">
        <v>72</v>
      </c>
      <c r="B342" s="1" t="s">
        <v>10</v>
      </c>
      <c r="C342" s="2">
        <v>41155</v>
      </c>
      <c r="D342" s="1">
        <v>10</v>
      </c>
      <c r="E342" s="1" t="s">
        <v>11</v>
      </c>
      <c r="I342" s="1" t="s">
        <v>12</v>
      </c>
      <c r="J342" s="1" t="s">
        <v>13</v>
      </c>
      <c r="K342" s="1" t="s">
        <v>14</v>
      </c>
      <c r="L342" s="1" t="s">
        <v>12</v>
      </c>
      <c r="M342" s="1" t="s">
        <v>12</v>
      </c>
      <c r="N342" s="1">
        <v>21.12</v>
      </c>
      <c r="O342" s="1" t="s">
        <v>20</v>
      </c>
      <c r="P342" s="1">
        <v>6</v>
      </c>
      <c r="Q342" s="1" t="s">
        <v>16</v>
      </c>
      <c r="R342" s="1" t="str">
        <f>IF(N342="","",VLOOKUP(N342,Prior_levels,2,TRUE))</f>
        <v>L</v>
      </c>
    </row>
    <row r="343" spans="1:18" x14ac:dyDescent="0.2">
      <c r="A343" s="1" t="s">
        <v>72</v>
      </c>
      <c r="B343" s="1" t="s">
        <v>10</v>
      </c>
      <c r="C343" s="2">
        <v>41155</v>
      </c>
      <c r="D343" s="1">
        <v>10</v>
      </c>
      <c r="E343" s="1" t="s">
        <v>11</v>
      </c>
      <c r="I343" s="1" t="s">
        <v>12</v>
      </c>
      <c r="J343" s="1" t="s">
        <v>13</v>
      </c>
      <c r="K343" s="1" t="s">
        <v>14</v>
      </c>
      <c r="L343" s="1" t="s">
        <v>12</v>
      </c>
      <c r="M343" s="1" t="s">
        <v>12</v>
      </c>
      <c r="N343" s="1">
        <v>21.12</v>
      </c>
      <c r="O343" s="1" t="s">
        <v>21</v>
      </c>
      <c r="P343" s="1">
        <v>7</v>
      </c>
      <c r="Q343" s="1" t="s">
        <v>16</v>
      </c>
      <c r="R343" s="1" t="str">
        <f>IF(N343="","",VLOOKUP(N343,Prior_levels,2,TRUE))</f>
        <v>L</v>
      </c>
    </row>
    <row r="344" spans="1:18" x14ac:dyDescent="0.2">
      <c r="A344" s="1" t="s">
        <v>72</v>
      </c>
      <c r="B344" s="1" t="s">
        <v>10</v>
      </c>
      <c r="C344" s="2">
        <v>41155</v>
      </c>
      <c r="D344" s="1">
        <v>10</v>
      </c>
      <c r="E344" s="1" t="s">
        <v>11</v>
      </c>
      <c r="I344" s="1" t="s">
        <v>12</v>
      </c>
      <c r="J344" s="1" t="s">
        <v>13</v>
      </c>
      <c r="K344" s="1" t="s">
        <v>14</v>
      </c>
      <c r="L344" s="1" t="s">
        <v>12</v>
      </c>
      <c r="M344" s="1" t="s">
        <v>12</v>
      </c>
      <c r="N344" s="1">
        <v>21.12</v>
      </c>
      <c r="O344" s="1" t="s">
        <v>22</v>
      </c>
      <c r="P344" s="1">
        <v>-0.66</v>
      </c>
      <c r="Q344" s="1" t="s">
        <v>16</v>
      </c>
      <c r="R344" s="1" t="str">
        <f>IF(N344="","",VLOOKUP(N344,Prior_levels,2,TRUE))</f>
        <v>L</v>
      </c>
    </row>
    <row r="345" spans="1:18" x14ac:dyDescent="0.2">
      <c r="A345" s="1" t="s">
        <v>72</v>
      </c>
      <c r="B345" s="1" t="s">
        <v>10</v>
      </c>
      <c r="C345" s="2">
        <v>41155</v>
      </c>
      <c r="D345" s="1">
        <v>10</v>
      </c>
      <c r="E345" s="1" t="s">
        <v>11</v>
      </c>
      <c r="I345" s="1" t="s">
        <v>12</v>
      </c>
      <c r="J345" s="1" t="s">
        <v>13</v>
      </c>
      <c r="K345" s="1" t="s">
        <v>14</v>
      </c>
      <c r="L345" s="1" t="s">
        <v>12</v>
      </c>
      <c r="M345" s="1" t="s">
        <v>12</v>
      </c>
      <c r="N345" s="1">
        <v>21.12</v>
      </c>
      <c r="O345" s="1" t="s">
        <v>23</v>
      </c>
      <c r="P345" s="1">
        <v>0.39</v>
      </c>
      <c r="Q345" s="1" t="s">
        <v>16</v>
      </c>
      <c r="R345" s="1" t="str">
        <f>IF(N345="","",VLOOKUP(N345,Prior_levels,2,TRUE))</f>
        <v>L</v>
      </c>
    </row>
    <row r="346" spans="1:18" x14ac:dyDescent="0.2">
      <c r="A346" s="1" t="s">
        <v>72</v>
      </c>
      <c r="B346" s="1" t="s">
        <v>10</v>
      </c>
      <c r="C346" s="2">
        <v>41155</v>
      </c>
      <c r="D346" s="1">
        <v>10</v>
      </c>
      <c r="E346" s="1" t="s">
        <v>11</v>
      </c>
      <c r="I346" s="1" t="s">
        <v>12</v>
      </c>
      <c r="J346" s="1" t="s">
        <v>13</v>
      </c>
      <c r="K346" s="1" t="s">
        <v>14</v>
      </c>
      <c r="L346" s="1" t="s">
        <v>12</v>
      </c>
      <c r="M346" s="1" t="s">
        <v>12</v>
      </c>
      <c r="N346" s="1">
        <v>21.12</v>
      </c>
      <c r="O346" s="1" t="s">
        <v>24</v>
      </c>
      <c r="P346" s="1">
        <v>1.49</v>
      </c>
      <c r="Q346" s="1" t="s">
        <v>16</v>
      </c>
      <c r="R346" s="1" t="str">
        <f>IF(N346="","",VLOOKUP(N346,Prior_levels,2,TRUE))</f>
        <v>L</v>
      </c>
    </row>
    <row r="347" spans="1:18" x14ac:dyDescent="0.2">
      <c r="A347" s="1" t="s">
        <v>72</v>
      </c>
      <c r="B347" s="1" t="s">
        <v>10</v>
      </c>
      <c r="C347" s="2">
        <v>41155</v>
      </c>
      <c r="D347" s="1">
        <v>10</v>
      </c>
      <c r="E347" s="1" t="s">
        <v>11</v>
      </c>
      <c r="I347" s="1" t="s">
        <v>12</v>
      </c>
      <c r="J347" s="1" t="s">
        <v>13</v>
      </c>
      <c r="K347" s="1" t="s">
        <v>14</v>
      </c>
      <c r="L347" s="1" t="s">
        <v>12</v>
      </c>
      <c r="M347" s="1" t="s">
        <v>12</v>
      </c>
      <c r="N347" s="1">
        <v>21.12</v>
      </c>
      <c r="O347" s="1" t="s">
        <v>25</v>
      </c>
      <c r="P347" s="1">
        <v>-4.2</v>
      </c>
      <c r="Q347" s="1" t="s">
        <v>16</v>
      </c>
      <c r="R347" s="1" t="str">
        <f>IF(N347="","",VLOOKUP(N347,Prior_levels,2,TRUE))</f>
        <v>L</v>
      </c>
    </row>
    <row r="348" spans="1:18" x14ac:dyDescent="0.2">
      <c r="A348" s="1" t="s">
        <v>72</v>
      </c>
      <c r="B348" s="1" t="s">
        <v>10</v>
      </c>
      <c r="C348" s="2">
        <v>41155</v>
      </c>
      <c r="D348" s="1">
        <v>10</v>
      </c>
      <c r="E348" s="1" t="s">
        <v>11</v>
      </c>
      <c r="I348" s="1" t="s">
        <v>12</v>
      </c>
      <c r="J348" s="1" t="s">
        <v>13</v>
      </c>
      <c r="K348" s="1" t="s">
        <v>14</v>
      </c>
      <c r="L348" s="1" t="s">
        <v>12</v>
      </c>
      <c r="M348" s="1" t="s">
        <v>12</v>
      </c>
      <c r="N348" s="1">
        <v>21.12</v>
      </c>
      <c r="O348" s="1" t="s">
        <v>26</v>
      </c>
      <c r="P348" s="1">
        <v>0</v>
      </c>
      <c r="Q348" s="1" t="s">
        <v>16</v>
      </c>
      <c r="R348" s="1" t="str">
        <f>IF(N348="","",VLOOKUP(N348,Prior_levels,2,TRUE))</f>
        <v>L</v>
      </c>
    </row>
    <row r="349" spans="1:18" x14ac:dyDescent="0.2">
      <c r="A349" s="1" t="s">
        <v>72</v>
      </c>
      <c r="B349" s="1" t="s">
        <v>10</v>
      </c>
      <c r="C349" s="2">
        <v>41155</v>
      </c>
      <c r="D349" s="1">
        <v>10</v>
      </c>
      <c r="E349" s="1" t="s">
        <v>11</v>
      </c>
      <c r="I349" s="1" t="s">
        <v>12</v>
      </c>
      <c r="J349" s="1" t="s">
        <v>13</v>
      </c>
      <c r="K349" s="1" t="s">
        <v>14</v>
      </c>
      <c r="L349" s="1" t="s">
        <v>12</v>
      </c>
      <c r="M349" s="1" t="s">
        <v>12</v>
      </c>
      <c r="N349" s="1">
        <v>21.12</v>
      </c>
      <c r="O349" s="1" t="s">
        <v>32</v>
      </c>
      <c r="P349" s="1" t="s">
        <v>28</v>
      </c>
      <c r="Q349" s="1" t="s">
        <v>16</v>
      </c>
      <c r="R349" s="1" t="str">
        <f>IF(N349="","",VLOOKUP(N349,Prior_levels,2,TRUE))</f>
        <v>L</v>
      </c>
    </row>
    <row r="350" spans="1:18" x14ac:dyDescent="0.2">
      <c r="A350" s="1" t="s">
        <v>72</v>
      </c>
      <c r="B350" s="1" t="s">
        <v>10</v>
      </c>
      <c r="C350" s="2">
        <v>41155</v>
      </c>
      <c r="D350" s="1">
        <v>10</v>
      </c>
      <c r="E350" s="1" t="s">
        <v>11</v>
      </c>
      <c r="I350" s="1" t="s">
        <v>12</v>
      </c>
      <c r="J350" s="1" t="s">
        <v>13</v>
      </c>
      <c r="K350" s="1" t="s">
        <v>14</v>
      </c>
      <c r="L350" s="1" t="s">
        <v>12</v>
      </c>
      <c r="M350" s="1" t="s">
        <v>12</v>
      </c>
      <c r="N350" s="1">
        <v>21.12</v>
      </c>
      <c r="O350" s="1" t="s">
        <v>27</v>
      </c>
      <c r="P350" s="1" t="s">
        <v>28</v>
      </c>
      <c r="Q350" s="1" t="s">
        <v>16</v>
      </c>
      <c r="R350" s="1" t="str">
        <f>IF(N350="","",VLOOKUP(N350,Prior_levels,2,TRUE))</f>
        <v>L</v>
      </c>
    </row>
    <row r="351" spans="1:18" x14ac:dyDescent="0.2">
      <c r="A351" s="1" t="s">
        <v>72</v>
      </c>
      <c r="B351" s="1" t="s">
        <v>10</v>
      </c>
      <c r="C351" s="2">
        <v>41155</v>
      </c>
      <c r="D351" s="1">
        <v>10</v>
      </c>
      <c r="E351" s="1" t="s">
        <v>11</v>
      </c>
      <c r="I351" s="1" t="s">
        <v>12</v>
      </c>
      <c r="J351" s="1" t="s">
        <v>13</v>
      </c>
      <c r="K351" s="1" t="s">
        <v>14</v>
      </c>
      <c r="L351" s="1" t="s">
        <v>12</v>
      </c>
      <c r="M351" s="1" t="s">
        <v>12</v>
      </c>
      <c r="N351" s="1">
        <v>21.12</v>
      </c>
      <c r="O351" s="1" t="s">
        <v>29</v>
      </c>
      <c r="P351" s="1" t="s">
        <v>28</v>
      </c>
      <c r="Q351" s="1" t="s">
        <v>16</v>
      </c>
      <c r="R351" s="1" t="str">
        <f>IF(N351="","",VLOOKUP(N351,Prior_levels,2,TRUE))</f>
        <v>L</v>
      </c>
    </row>
    <row r="352" spans="1:18" x14ac:dyDescent="0.2">
      <c r="A352" s="1" t="s">
        <v>72</v>
      </c>
      <c r="B352" s="1" t="s">
        <v>10</v>
      </c>
      <c r="C352" s="2">
        <v>41155</v>
      </c>
      <c r="D352" s="1">
        <v>10</v>
      </c>
      <c r="E352" s="1" t="s">
        <v>11</v>
      </c>
      <c r="I352" s="1" t="s">
        <v>12</v>
      </c>
      <c r="J352" s="1" t="s">
        <v>13</v>
      </c>
      <c r="K352" s="1" t="s">
        <v>14</v>
      </c>
      <c r="L352" s="1" t="s">
        <v>12</v>
      </c>
      <c r="M352" s="1" t="s">
        <v>12</v>
      </c>
      <c r="N352" s="1">
        <v>21.12</v>
      </c>
      <c r="O352" s="1" t="s">
        <v>30</v>
      </c>
      <c r="P352" s="1" t="s">
        <v>28</v>
      </c>
      <c r="Q352" s="1" t="s">
        <v>16</v>
      </c>
      <c r="R352" s="1" t="str">
        <f>IF(N352="","",VLOOKUP(N352,Prior_levels,2,TRUE))</f>
        <v>L</v>
      </c>
    </row>
    <row r="353" spans="1:18" x14ac:dyDescent="0.2">
      <c r="A353" s="1" t="s">
        <v>72</v>
      </c>
      <c r="B353" s="1" t="s">
        <v>10</v>
      </c>
      <c r="C353" s="2">
        <v>41155</v>
      </c>
      <c r="D353" s="1">
        <v>10</v>
      </c>
      <c r="E353" s="1" t="s">
        <v>11</v>
      </c>
      <c r="I353" s="1" t="s">
        <v>12</v>
      </c>
      <c r="J353" s="1" t="s">
        <v>13</v>
      </c>
      <c r="K353" s="1" t="s">
        <v>14</v>
      </c>
      <c r="L353" s="1" t="s">
        <v>12</v>
      </c>
      <c r="M353" s="1" t="s">
        <v>12</v>
      </c>
      <c r="N353" s="1">
        <v>21.12</v>
      </c>
      <c r="O353" s="1" t="s">
        <v>31</v>
      </c>
      <c r="P353" s="1" t="s">
        <v>28</v>
      </c>
      <c r="Q353" s="1" t="s">
        <v>16</v>
      </c>
      <c r="R353" s="1" t="str">
        <f>IF(N353="","",VLOOKUP(N353,Prior_levels,2,TRUE))</f>
        <v>L</v>
      </c>
    </row>
    <row r="354" spans="1:18" x14ac:dyDescent="0.2">
      <c r="A354" s="1" t="s">
        <v>73</v>
      </c>
      <c r="B354" s="1" t="s">
        <v>10</v>
      </c>
      <c r="C354" s="2">
        <v>41155</v>
      </c>
      <c r="D354" s="1">
        <v>10</v>
      </c>
      <c r="E354" s="1" t="s">
        <v>39</v>
      </c>
      <c r="I354" s="1" t="s">
        <v>12</v>
      </c>
      <c r="J354" s="1" t="s">
        <v>74</v>
      </c>
      <c r="K354" s="1" t="s">
        <v>14</v>
      </c>
      <c r="L354" s="1" t="s">
        <v>12</v>
      </c>
      <c r="M354" s="1" t="s">
        <v>12</v>
      </c>
      <c r="N354" s="1">
        <v>21.12</v>
      </c>
      <c r="O354" s="1" t="s">
        <v>15</v>
      </c>
      <c r="P354" s="1">
        <v>2.35</v>
      </c>
      <c r="Q354" s="1" t="s">
        <v>16</v>
      </c>
      <c r="R354" s="1" t="str">
        <f>IF(N354="","",VLOOKUP(N354,Prior_levels,2,TRUE))</f>
        <v>L</v>
      </c>
    </row>
    <row r="355" spans="1:18" x14ac:dyDescent="0.2">
      <c r="A355" s="1" t="s">
        <v>73</v>
      </c>
      <c r="B355" s="1" t="s">
        <v>10</v>
      </c>
      <c r="C355" s="2">
        <v>41155</v>
      </c>
      <c r="D355" s="1">
        <v>10</v>
      </c>
      <c r="E355" s="1" t="s">
        <v>39</v>
      </c>
      <c r="I355" s="1" t="s">
        <v>12</v>
      </c>
      <c r="J355" s="1" t="s">
        <v>74</v>
      </c>
      <c r="K355" s="1" t="s">
        <v>14</v>
      </c>
      <c r="L355" s="1" t="s">
        <v>12</v>
      </c>
      <c r="M355" s="1" t="s">
        <v>12</v>
      </c>
      <c r="N355" s="1">
        <v>21.12</v>
      </c>
      <c r="O355" s="1" t="s">
        <v>17</v>
      </c>
      <c r="P355" s="1">
        <v>-0.48</v>
      </c>
      <c r="Q355" s="1" t="s">
        <v>16</v>
      </c>
      <c r="R355" s="1" t="str">
        <f>IF(N355="","",VLOOKUP(N355,Prior_levels,2,TRUE))</f>
        <v>L</v>
      </c>
    </row>
    <row r="356" spans="1:18" x14ac:dyDescent="0.2">
      <c r="A356" s="1" t="s">
        <v>73</v>
      </c>
      <c r="B356" s="1" t="s">
        <v>10</v>
      </c>
      <c r="C356" s="2">
        <v>41155</v>
      </c>
      <c r="D356" s="1">
        <v>10</v>
      </c>
      <c r="E356" s="1" t="s">
        <v>39</v>
      </c>
      <c r="I356" s="1" t="s">
        <v>12</v>
      </c>
      <c r="J356" s="1" t="s">
        <v>74</v>
      </c>
      <c r="K356" s="1" t="s">
        <v>14</v>
      </c>
      <c r="L356" s="1" t="s">
        <v>12</v>
      </c>
      <c r="M356" s="1" t="s">
        <v>12</v>
      </c>
      <c r="N356" s="1">
        <v>21.12</v>
      </c>
      <c r="O356" s="1" t="s">
        <v>18</v>
      </c>
      <c r="P356" s="1">
        <v>4</v>
      </c>
      <c r="Q356" s="1" t="s">
        <v>16</v>
      </c>
      <c r="R356" s="1" t="str">
        <f>IF(N356="","",VLOOKUP(N356,Prior_levels,2,TRUE))</f>
        <v>L</v>
      </c>
    </row>
    <row r="357" spans="1:18" x14ac:dyDescent="0.2">
      <c r="A357" s="1" t="s">
        <v>73</v>
      </c>
      <c r="B357" s="1" t="s">
        <v>10</v>
      </c>
      <c r="C357" s="2">
        <v>41155</v>
      </c>
      <c r="D357" s="1">
        <v>10</v>
      </c>
      <c r="E357" s="1" t="s">
        <v>39</v>
      </c>
      <c r="I357" s="1" t="s">
        <v>12</v>
      </c>
      <c r="J357" s="1" t="s">
        <v>74</v>
      </c>
      <c r="K357" s="1" t="s">
        <v>14</v>
      </c>
      <c r="L357" s="1" t="s">
        <v>12</v>
      </c>
      <c r="M357" s="1" t="s">
        <v>12</v>
      </c>
      <c r="N357" s="1">
        <v>21.12</v>
      </c>
      <c r="O357" s="1" t="s">
        <v>19</v>
      </c>
      <c r="P357" s="1">
        <v>6</v>
      </c>
      <c r="Q357" s="1" t="s">
        <v>16</v>
      </c>
      <c r="R357" s="1" t="str">
        <f>IF(N357="","",VLOOKUP(N357,Prior_levels,2,TRUE))</f>
        <v>L</v>
      </c>
    </row>
    <row r="358" spans="1:18" x14ac:dyDescent="0.2">
      <c r="A358" s="1" t="s">
        <v>73</v>
      </c>
      <c r="B358" s="1" t="s">
        <v>10</v>
      </c>
      <c r="C358" s="2">
        <v>41155</v>
      </c>
      <c r="D358" s="1">
        <v>10</v>
      </c>
      <c r="E358" s="1" t="s">
        <v>39</v>
      </c>
      <c r="I358" s="1" t="s">
        <v>12</v>
      </c>
      <c r="J358" s="1" t="s">
        <v>74</v>
      </c>
      <c r="K358" s="1" t="s">
        <v>14</v>
      </c>
      <c r="L358" s="1" t="s">
        <v>12</v>
      </c>
      <c r="M358" s="1" t="s">
        <v>12</v>
      </c>
      <c r="N358" s="1">
        <v>21.12</v>
      </c>
      <c r="O358" s="1" t="s">
        <v>20</v>
      </c>
      <c r="P358" s="1">
        <v>6</v>
      </c>
      <c r="Q358" s="1" t="s">
        <v>16</v>
      </c>
      <c r="R358" s="1" t="str">
        <f>IF(N358="","",VLOOKUP(N358,Prior_levels,2,TRUE))</f>
        <v>L</v>
      </c>
    </row>
    <row r="359" spans="1:18" x14ac:dyDescent="0.2">
      <c r="A359" s="1" t="s">
        <v>73</v>
      </c>
      <c r="B359" s="1" t="s">
        <v>10</v>
      </c>
      <c r="C359" s="2">
        <v>41155</v>
      </c>
      <c r="D359" s="1">
        <v>10</v>
      </c>
      <c r="E359" s="1" t="s">
        <v>39</v>
      </c>
      <c r="I359" s="1" t="s">
        <v>12</v>
      </c>
      <c r="J359" s="1" t="s">
        <v>74</v>
      </c>
      <c r="K359" s="1" t="s">
        <v>14</v>
      </c>
      <c r="L359" s="1" t="s">
        <v>12</v>
      </c>
      <c r="M359" s="1" t="s">
        <v>12</v>
      </c>
      <c r="N359" s="1">
        <v>21.12</v>
      </c>
      <c r="O359" s="1" t="s">
        <v>21</v>
      </c>
      <c r="P359" s="1">
        <v>7.5</v>
      </c>
      <c r="Q359" s="1" t="s">
        <v>16</v>
      </c>
      <c r="R359" s="1" t="str">
        <f>IF(N359="","",VLOOKUP(N359,Prior_levels,2,TRUE))</f>
        <v>L</v>
      </c>
    </row>
    <row r="360" spans="1:18" x14ac:dyDescent="0.2">
      <c r="A360" s="1" t="s">
        <v>73</v>
      </c>
      <c r="B360" s="1" t="s">
        <v>10</v>
      </c>
      <c r="C360" s="2">
        <v>41155</v>
      </c>
      <c r="D360" s="1">
        <v>10</v>
      </c>
      <c r="E360" s="1" t="s">
        <v>39</v>
      </c>
      <c r="I360" s="1" t="s">
        <v>12</v>
      </c>
      <c r="J360" s="1" t="s">
        <v>74</v>
      </c>
      <c r="K360" s="1" t="s">
        <v>14</v>
      </c>
      <c r="L360" s="1" t="s">
        <v>12</v>
      </c>
      <c r="M360" s="1" t="s">
        <v>12</v>
      </c>
      <c r="N360" s="1">
        <v>21.12</v>
      </c>
      <c r="O360" s="1" t="s">
        <v>22</v>
      </c>
      <c r="P360" s="1">
        <v>-1.66</v>
      </c>
      <c r="Q360" s="1" t="s">
        <v>16</v>
      </c>
      <c r="R360" s="1" t="str">
        <f>IF(N360="","",VLOOKUP(N360,Prior_levels,2,TRUE))</f>
        <v>L</v>
      </c>
    </row>
    <row r="361" spans="1:18" x14ac:dyDescent="0.2">
      <c r="A361" s="1" t="s">
        <v>73</v>
      </c>
      <c r="B361" s="1" t="s">
        <v>10</v>
      </c>
      <c r="C361" s="2">
        <v>41155</v>
      </c>
      <c r="D361" s="1">
        <v>10</v>
      </c>
      <c r="E361" s="1" t="s">
        <v>39</v>
      </c>
      <c r="I361" s="1" t="s">
        <v>12</v>
      </c>
      <c r="J361" s="1" t="s">
        <v>74</v>
      </c>
      <c r="K361" s="1" t="s">
        <v>14</v>
      </c>
      <c r="L361" s="1" t="s">
        <v>12</v>
      </c>
      <c r="M361" s="1" t="s">
        <v>12</v>
      </c>
      <c r="N361" s="1">
        <v>21.12</v>
      </c>
      <c r="O361" s="1" t="s">
        <v>23</v>
      </c>
      <c r="P361" s="1">
        <v>0.39</v>
      </c>
      <c r="Q361" s="1" t="s">
        <v>16</v>
      </c>
      <c r="R361" s="1" t="str">
        <f>IF(N361="","",VLOOKUP(N361,Prior_levels,2,TRUE))</f>
        <v>L</v>
      </c>
    </row>
    <row r="362" spans="1:18" x14ac:dyDescent="0.2">
      <c r="A362" s="1" t="s">
        <v>73</v>
      </c>
      <c r="B362" s="1" t="s">
        <v>10</v>
      </c>
      <c r="C362" s="2">
        <v>41155</v>
      </c>
      <c r="D362" s="1">
        <v>10</v>
      </c>
      <c r="E362" s="1" t="s">
        <v>39</v>
      </c>
      <c r="I362" s="1" t="s">
        <v>12</v>
      </c>
      <c r="J362" s="1" t="s">
        <v>74</v>
      </c>
      <c r="K362" s="1" t="s">
        <v>14</v>
      </c>
      <c r="L362" s="1" t="s">
        <v>12</v>
      </c>
      <c r="M362" s="1" t="s">
        <v>12</v>
      </c>
      <c r="N362" s="1">
        <v>21.12</v>
      </c>
      <c r="O362" s="1" t="s">
        <v>24</v>
      </c>
      <c r="P362" s="1">
        <v>1.49</v>
      </c>
      <c r="Q362" s="1" t="s">
        <v>16</v>
      </c>
      <c r="R362" s="1" t="str">
        <f>IF(N362="","",VLOOKUP(N362,Prior_levels,2,TRUE))</f>
        <v>L</v>
      </c>
    </row>
    <row r="363" spans="1:18" x14ac:dyDescent="0.2">
      <c r="A363" s="1" t="s">
        <v>73</v>
      </c>
      <c r="B363" s="1" t="s">
        <v>10</v>
      </c>
      <c r="C363" s="2">
        <v>41155</v>
      </c>
      <c r="D363" s="1">
        <v>10</v>
      </c>
      <c r="E363" s="1" t="s">
        <v>39</v>
      </c>
      <c r="I363" s="1" t="s">
        <v>12</v>
      </c>
      <c r="J363" s="1" t="s">
        <v>74</v>
      </c>
      <c r="K363" s="1" t="s">
        <v>14</v>
      </c>
      <c r="L363" s="1" t="s">
        <v>12</v>
      </c>
      <c r="M363" s="1" t="s">
        <v>12</v>
      </c>
      <c r="N363" s="1">
        <v>21.12</v>
      </c>
      <c r="O363" s="1" t="s">
        <v>25</v>
      </c>
      <c r="P363" s="1">
        <v>-3.7</v>
      </c>
      <c r="Q363" s="1" t="s">
        <v>16</v>
      </c>
      <c r="R363" s="1" t="str">
        <f>IF(N363="","",VLOOKUP(N363,Prior_levels,2,TRUE))</f>
        <v>L</v>
      </c>
    </row>
    <row r="364" spans="1:18" x14ac:dyDescent="0.2">
      <c r="A364" s="1" t="s">
        <v>73</v>
      </c>
      <c r="B364" s="1" t="s">
        <v>10</v>
      </c>
      <c r="C364" s="2">
        <v>41155</v>
      </c>
      <c r="D364" s="1">
        <v>10</v>
      </c>
      <c r="E364" s="1" t="s">
        <v>39</v>
      </c>
      <c r="I364" s="1" t="s">
        <v>12</v>
      </c>
      <c r="J364" s="1" t="s">
        <v>74</v>
      </c>
      <c r="K364" s="1" t="s">
        <v>14</v>
      </c>
      <c r="L364" s="1" t="s">
        <v>12</v>
      </c>
      <c r="M364" s="1" t="s">
        <v>12</v>
      </c>
      <c r="N364" s="1">
        <v>21.12</v>
      </c>
      <c r="O364" s="1" t="s">
        <v>26</v>
      </c>
      <c r="P364" s="1">
        <v>1</v>
      </c>
      <c r="Q364" s="1" t="s">
        <v>16</v>
      </c>
      <c r="R364" s="1" t="str">
        <f>IF(N364="","",VLOOKUP(N364,Prior_levels,2,TRUE))</f>
        <v>L</v>
      </c>
    </row>
    <row r="365" spans="1:18" x14ac:dyDescent="0.2">
      <c r="A365" s="1" t="s">
        <v>73</v>
      </c>
      <c r="B365" s="1" t="s">
        <v>10</v>
      </c>
      <c r="C365" s="2">
        <v>41155</v>
      </c>
      <c r="D365" s="1">
        <v>10</v>
      </c>
      <c r="E365" s="1" t="s">
        <v>39</v>
      </c>
      <c r="I365" s="1" t="s">
        <v>12</v>
      </c>
      <c r="J365" s="1" t="s">
        <v>74</v>
      </c>
      <c r="K365" s="1" t="s">
        <v>14</v>
      </c>
      <c r="L365" s="1" t="s">
        <v>12</v>
      </c>
      <c r="M365" s="1" t="s">
        <v>12</v>
      </c>
      <c r="N365" s="1">
        <v>21.12</v>
      </c>
      <c r="O365" s="1" t="s">
        <v>32</v>
      </c>
      <c r="P365" s="1" t="s">
        <v>28</v>
      </c>
      <c r="Q365" s="1" t="s">
        <v>16</v>
      </c>
      <c r="R365" s="1" t="str">
        <f>IF(N365="","",VLOOKUP(N365,Prior_levels,2,TRUE))</f>
        <v>L</v>
      </c>
    </row>
    <row r="366" spans="1:18" x14ac:dyDescent="0.2">
      <c r="A366" s="1" t="s">
        <v>73</v>
      </c>
      <c r="B366" s="1" t="s">
        <v>10</v>
      </c>
      <c r="C366" s="2">
        <v>41155</v>
      </c>
      <c r="D366" s="1">
        <v>10</v>
      </c>
      <c r="E366" s="1" t="s">
        <v>39</v>
      </c>
      <c r="I366" s="1" t="s">
        <v>12</v>
      </c>
      <c r="J366" s="1" t="s">
        <v>74</v>
      </c>
      <c r="K366" s="1" t="s">
        <v>14</v>
      </c>
      <c r="L366" s="1" t="s">
        <v>12</v>
      </c>
      <c r="M366" s="1" t="s">
        <v>12</v>
      </c>
      <c r="N366" s="1">
        <v>21.12</v>
      </c>
      <c r="O366" s="1" t="s">
        <v>27</v>
      </c>
      <c r="P366" s="1" t="s">
        <v>28</v>
      </c>
      <c r="Q366" s="1" t="s">
        <v>16</v>
      </c>
      <c r="R366" s="1" t="str">
        <f>IF(N366="","",VLOOKUP(N366,Prior_levels,2,TRUE))</f>
        <v>L</v>
      </c>
    </row>
    <row r="367" spans="1:18" x14ac:dyDescent="0.2">
      <c r="A367" s="1" t="s">
        <v>73</v>
      </c>
      <c r="B367" s="1" t="s">
        <v>10</v>
      </c>
      <c r="C367" s="2">
        <v>41155</v>
      </c>
      <c r="D367" s="1">
        <v>10</v>
      </c>
      <c r="E367" s="1" t="s">
        <v>39</v>
      </c>
      <c r="I367" s="1" t="s">
        <v>12</v>
      </c>
      <c r="J367" s="1" t="s">
        <v>74</v>
      </c>
      <c r="K367" s="1" t="s">
        <v>14</v>
      </c>
      <c r="L367" s="1" t="s">
        <v>12</v>
      </c>
      <c r="M367" s="1" t="s">
        <v>12</v>
      </c>
      <c r="N367" s="1">
        <v>21.12</v>
      </c>
      <c r="O367" s="1" t="s">
        <v>29</v>
      </c>
      <c r="P367" s="1" t="s">
        <v>28</v>
      </c>
      <c r="Q367" s="1" t="s">
        <v>16</v>
      </c>
      <c r="R367" s="1" t="str">
        <f>IF(N367="","",VLOOKUP(N367,Prior_levels,2,TRUE))</f>
        <v>L</v>
      </c>
    </row>
    <row r="368" spans="1:18" x14ac:dyDescent="0.2">
      <c r="A368" s="1" t="s">
        <v>73</v>
      </c>
      <c r="B368" s="1" t="s">
        <v>10</v>
      </c>
      <c r="C368" s="2">
        <v>41155</v>
      </c>
      <c r="D368" s="1">
        <v>10</v>
      </c>
      <c r="E368" s="1" t="s">
        <v>39</v>
      </c>
      <c r="I368" s="1" t="s">
        <v>12</v>
      </c>
      <c r="J368" s="1" t="s">
        <v>74</v>
      </c>
      <c r="K368" s="1" t="s">
        <v>14</v>
      </c>
      <c r="L368" s="1" t="s">
        <v>12</v>
      </c>
      <c r="M368" s="1" t="s">
        <v>12</v>
      </c>
      <c r="N368" s="1">
        <v>21.12</v>
      </c>
      <c r="O368" s="1" t="s">
        <v>30</v>
      </c>
      <c r="P368" s="1" t="s">
        <v>28</v>
      </c>
      <c r="Q368" s="1" t="s">
        <v>16</v>
      </c>
      <c r="R368" s="1" t="str">
        <f>IF(N368="","",VLOOKUP(N368,Prior_levels,2,TRUE))</f>
        <v>L</v>
      </c>
    </row>
    <row r="369" spans="1:18" x14ac:dyDescent="0.2">
      <c r="A369" s="1" t="s">
        <v>73</v>
      </c>
      <c r="B369" s="1" t="s">
        <v>10</v>
      </c>
      <c r="C369" s="2">
        <v>41155</v>
      </c>
      <c r="D369" s="1">
        <v>10</v>
      </c>
      <c r="E369" s="1" t="s">
        <v>39</v>
      </c>
      <c r="I369" s="1" t="s">
        <v>12</v>
      </c>
      <c r="J369" s="1" t="s">
        <v>74</v>
      </c>
      <c r="K369" s="1" t="s">
        <v>14</v>
      </c>
      <c r="L369" s="1" t="s">
        <v>12</v>
      </c>
      <c r="M369" s="1" t="s">
        <v>12</v>
      </c>
      <c r="N369" s="1">
        <v>21.12</v>
      </c>
      <c r="O369" s="1" t="s">
        <v>31</v>
      </c>
      <c r="P369" s="1" t="s">
        <v>28</v>
      </c>
      <c r="Q369" s="1" t="s">
        <v>16</v>
      </c>
      <c r="R369" s="1" t="str">
        <f>IF(N369="","",VLOOKUP(N369,Prior_levels,2,TRUE))</f>
        <v>L</v>
      </c>
    </row>
    <row r="370" spans="1:18" x14ac:dyDescent="0.2">
      <c r="A370" s="1" t="s">
        <v>75</v>
      </c>
      <c r="B370" s="1" t="s">
        <v>10</v>
      </c>
      <c r="C370" s="2">
        <v>41155</v>
      </c>
      <c r="D370" s="1">
        <v>10</v>
      </c>
      <c r="E370" s="1" t="s">
        <v>39</v>
      </c>
      <c r="I370" s="1" t="s">
        <v>12</v>
      </c>
      <c r="J370" s="1" t="s">
        <v>40</v>
      </c>
      <c r="K370" s="1" t="s">
        <v>14</v>
      </c>
      <c r="L370" s="1" t="s">
        <v>12</v>
      </c>
      <c r="M370" s="1" t="s">
        <v>12</v>
      </c>
      <c r="N370" s="1">
        <v>27.12</v>
      </c>
      <c r="O370" s="1" t="s">
        <v>15</v>
      </c>
      <c r="P370" s="1">
        <v>5.0999999999999996</v>
      </c>
      <c r="Q370" s="1" t="s">
        <v>16</v>
      </c>
      <c r="R370" s="1" t="str">
        <f>IF(N370="","",VLOOKUP(N370,Prior_levels,2,TRUE))</f>
        <v>M</v>
      </c>
    </row>
    <row r="371" spans="1:18" x14ac:dyDescent="0.2">
      <c r="A371" s="1" t="s">
        <v>75</v>
      </c>
      <c r="B371" s="1" t="s">
        <v>10</v>
      </c>
      <c r="C371" s="2">
        <v>41155</v>
      </c>
      <c r="D371" s="1">
        <v>10</v>
      </c>
      <c r="E371" s="1" t="s">
        <v>39</v>
      </c>
      <c r="I371" s="1" t="s">
        <v>12</v>
      </c>
      <c r="J371" s="1" t="s">
        <v>40</v>
      </c>
      <c r="K371" s="1" t="s">
        <v>14</v>
      </c>
      <c r="L371" s="1" t="s">
        <v>12</v>
      </c>
      <c r="M371" s="1" t="s">
        <v>12</v>
      </c>
      <c r="N371" s="1">
        <v>27.12</v>
      </c>
      <c r="O371" s="1" t="s">
        <v>17</v>
      </c>
      <c r="P371" s="1">
        <v>0.55000000000000004</v>
      </c>
      <c r="Q371" s="1" t="s">
        <v>16</v>
      </c>
      <c r="R371" s="1" t="str">
        <f>IF(N371="","",VLOOKUP(N371,Prior_levels,2,TRUE))</f>
        <v>M</v>
      </c>
    </row>
    <row r="372" spans="1:18" x14ac:dyDescent="0.2">
      <c r="A372" s="1" t="s">
        <v>75</v>
      </c>
      <c r="B372" s="1" t="s">
        <v>10</v>
      </c>
      <c r="C372" s="2">
        <v>41155</v>
      </c>
      <c r="D372" s="1">
        <v>10</v>
      </c>
      <c r="E372" s="1" t="s">
        <v>39</v>
      </c>
      <c r="I372" s="1" t="s">
        <v>12</v>
      </c>
      <c r="J372" s="1" t="s">
        <v>40</v>
      </c>
      <c r="K372" s="1" t="s">
        <v>14</v>
      </c>
      <c r="L372" s="1" t="s">
        <v>12</v>
      </c>
      <c r="M372" s="1" t="s">
        <v>12</v>
      </c>
      <c r="N372" s="1">
        <v>27.12</v>
      </c>
      <c r="O372" s="1" t="s">
        <v>18</v>
      </c>
      <c r="P372" s="1">
        <v>12</v>
      </c>
      <c r="Q372" s="1" t="s">
        <v>16</v>
      </c>
      <c r="R372" s="1" t="str">
        <f>IF(N372="","",VLOOKUP(N372,Prior_levels,2,TRUE))</f>
        <v>M</v>
      </c>
    </row>
    <row r="373" spans="1:18" x14ac:dyDescent="0.2">
      <c r="A373" s="1" t="s">
        <v>75</v>
      </c>
      <c r="B373" s="1" t="s">
        <v>10</v>
      </c>
      <c r="C373" s="2">
        <v>41155</v>
      </c>
      <c r="D373" s="1">
        <v>10</v>
      </c>
      <c r="E373" s="1" t="s">
        <v>39</v>
      </c>
      <c r="I373" s="1" t="s">
        <v>12</v>
      </c>
      <c r="J373" s="1" t="s">
        <v>40</v>
      </c>
      <c r="K373" s="1" t="s">
        <v>14</v>
      </c>
      <c r="L373" s="1" t="s">
        <v>12</v>
      </c>
      <c r="M373" s="1" t="s">
        <v>12</v>
      </c>
      <c r="N373" s="1">
        <v>27.12</v>
      </c>
      <c r="O373" s="1" t="s">
        <v>19</v>
      </c>
      <c r="P373" s="1">
        <v>10</v>
      </c>
      <c r="Q373" s="1" t="s">
        <v>16</v>
      </c>
      <c r="R373" s="1" t="str">
        <f>IF(N373="","",VLOOKUP(N373,Prior_levels,2,TRUE))</f>
        <v>M</v>
      </c>
    </row>
    <row r="374" spans="1:18" x14ac:dyDescent="0.2">
      <c r="A374" s="1" t="s">
        <v>75</v>
      </c>
      <c r="B374" s="1" t="s">
        <v>10</v>
      </c>
      <c r="C374" s="2">
        <v>41155</v>
      </c>
      <c r="D374" s="1">
        <v>10</v>
      </c>
      <c r="E374" s="1" t="s">
        <v>39</v>
      </c>
      <c r="I374" s="1" t="s">
        <v>12</v>
      </c>
      <c r="J374" s="1" t="s">
        <v>40</v>
      </c>
      <c r="K374" s="1" t="s">
        <v>14</v>
      </c>
      <c r="L374" s="1" t="s">
        <v>12</v>
      </c>
      <c r="M374" s="1" t="s">
        <v>12</v>
      </c>
      <c r="N374" s="1">
        <v>27.12</v>
      </c>
      <c r="O374" s="1" t="s">
        <v>20</v>
      </c>
      <c r="P374" s="1">
        <v>13.5</v>
      </c>
      <c r="Q374" s="1" t="s">
        <v>16</v>
      </c>
      <c r="R374" s="1" t="str">
        <f>IF(N374="","",VLOOKUP(N374,Prior_levels,2,TRUE))</f>
        <v>M</v>
      </c>
    </row>
    <row r="375" spans="1:18" x14ac:dyDescent="0.2">
      <c r="A375" s="1" t="s">
        <v>75</v>
      </c>
      <c r="B375" s="1" t="s">
        <v>10</v>
      </c>
      <c r="C375" s="2">
        <v>41155</v>
      </c>
      <c r="D375" s="1">
        <v>10</v>
      </c>
      <c r="E375" s="1" t="s">
        <v>39</v>
      </c>
      <c r="I375" s="1" t="s">
        <v>12</v>
      </c>
      <c r="J375" s="1" t="s">
        <v>40</v>
      </c>
      <c r="K375" s="1" t="s">
        <v>14</v>
      </c>
      <c r="L375" s="1" t="s">
        <v>12</v>
      </c>
      <c r="M375" s="1" t="s">
        <v>12</v>
      </c>
      <c r="N375" s="1">
        <v>27.12</v>
      </c>
      <c r="O375" s="1" t="s">
        <v>21</v>
      </c>
      <c r="P375" s="1">
        <v>15.5</v>
      </c>
      <c r="Q375" s="1" t="s">
        <v>16</v>
      </c>
      <c r="R375" s="1" t="str">
        <f>IF(N375="","",VLOOKUP(N375,Prior_levels,2,TRUE))</f>
        <v>M</v>
      </c>
    </row>
    <row r="376" spans="1:18" x14ac:dyDescent="0.2">
      <c r="A376" s="1" t="s">
        <v>75</v>
      </c>
      <c r="B376" s="1" t="s">
        <v>10</v>
      </c>
      <c r="C376" s="2">
        <v>41155</v>
      </c>
      <c r="D376" s="1">
        <v>10</v>
      </c>
      <c r="E376" s="1" t="s">
        <v>39</v>
      </c>
      <c r="I376" s="1" t="s">
        <v>12</v>
      </c>
      <c r="J376" s="1" t="s">
        <v>40</v>
      </c>
      <c r="K376" s="1" t="s">
        <v>14</v>
      </c>
      <c r="L376" s="1" t="s">
        <v>12</v>
      </c>
      <c r="M376" s="1" t="s">
        <v>12</v>
      </c>
      <c r="N376" s="1">
        <v>27.12</v>
      </c>
      <c r="O376" s="1" t="s">
        <v>22</v>
      </c>
      <c r="P376" s="1">
        <v>0.95</v>
      </c>
      <c r="Q376" s="1" t="s">
        <v>16</v>
      </c>
      <c r="R376" s="1" t="str">
        <f>IF(N376="","",VLOOKUP(N376,Prior_levels,2,TRUE))</f>
        <v>M</v>
      </c>
    </row>
    <row r="377" spans="1:18" x14ac:dyDescent="0.2">
      <c r="A377" s="1" t="s">
        <v>75</v>
      </c>
      <c r="B377" s="1" t="s">
        <v>10</v>
      </c>
      <c r="C377" s="2">
        <v>41155</v>
      </c>
      <c r="D377" s="1">
        <v>10</v>
      </c>
      <c r="E377" s="1" t="s">
        <v>39</v>
      </c>
      <c r="I377" s="1" t="s">
        <v>12</v>
      </c>
      <c r="J377" s="1" t="s">
        <v>40</v>
      </c>
      <c r="K377" s="1" t="s">
        <v>14</v>
      </c>
      <c r="L377" s="1" t="s">
        <v>12</v>
      </c>
      <c r="M377" s="1" t="s">
        <v>12</v>
      </c>
      <c r="N377" s="1">
        <v>27.12</v>
      </c>
      <c r="O377" s="1" t="s">
        <v>23</v>
      </c>
      <c r="P377" s="1">
        <v>0.36</v>
      </c>
      <c r="Q377" s="1" t="s">
        <v>16</v>
      </c>
      <c r="R377" s="1" t="str">
        <f>IF(N377="","",VLOOKUP(N377,Prior_levels,2,TRUE))</f>
        <v>M</v>
      </c>
    </row>
    <row r="378" spans="1:18" x14ac:dyDescent="0.2">
      <c r="A378" s="1" t="s">
        <v>75</v>
      </c>
      <c r="B378" s="1" t="s">
        <v>10</v>
      </c>
      <c r="C378" s="2">
        <v>41155</v>
      </c>
      <c r="D378" s="1">
        <v>10</v>
      </c>
      <c r="E378" s="1" t="s">
        <v>39</v>
      </c>
      <c r="I378" s="1" t="s">
        <v>12</v>
      </c>
      <c r="J378" s="1" t="s">
        <v>40</v>
      </c>
      <c r="K378" s="1" t="s">
        <v>14</v>
      </c>
      <c r="L378" s="1" t="s">
        <v>12</v>
      </c>
      <c r="M378" s="1" t="s">
        <v>12</v>
      </c>
      <c r="N378" s="1">
        <v>27.12</v>
      </c>
      <c r="O378" s="1" t="s">
        <v>24</v>
      </c>
      <c r="P378" s="1">
        <v>2.25</v>
      </c>
      <c r="Q378" s="1" t="s">
        <v>16</v>
      </c>
      <c r="R378" s="1" t="str">
        <f>IF(N378="","",VLOOKUP(N378,Prior_levels,2,TRUE))</f>
        <v>M</v>
      </c>
    </row>
    <row r="379" spans="1:18" x14ac:dyDescent="0.2">
      <c r="A379" s="1" t="s">
        <v>75</v>
      </c>
      <c r="B379" s="1" t="s">
        <v>10</v>
      </c>
      <c r="C379" s="2">
        <v>41155</v>
      </c>
      <c r="D379" s="1">
        <v>10</v>
      </c>
      <c r="E379" s="1" t="s">
        <v>39</v>
      </c>
      <c r="I379" s="1" t="s">
        <v>12</v>
      </c>
      <c r="J379" s="1" t="s">
        <v>40</v>
      </c>
      <c r="K379" s="1" t="s">
        <v>14</v>
      </c>
      <c r="L379" s="1" t="s">
        <v>12</v>
      </c>
      <c r="M379" s="1" t="s">
        <v>12</v>
      </c>
      <c r="N379" s="1">
        <v>27.12</v>
      </c>
      <c r="O379" s="1" t="s">
        <v>25</v>
      </c>
      <c r="P379" s="1">
        <v>0.61</v>
      </c>
      <c r="Q379" s="1" t="s">
        <v>16</v>
      </c>
      <c r="R379" s="1" t="str">
        <f>IF(N379="","",VLOOKUP(N379,Prior_levels,2,TRUE))</f>
        <v>M</v>
      </c>
    </row>
    <row r="380" spans="1:18" x14ac:dyDescent="0.2">
      <c r="A380" s="1" t="s">
        <v>75</v>
      </c>
      <c r="B380" s="1" t="s">
        <v>10</v>
      </c>
      <c r="C380" s="2">
        <v>41155</v>
      </c>
      <c r="D380" s="1">
        <v>10</v>
      </c>
      <c r="E380" s="1" t="s">
        <v>39</v>
      </c>
      <c r="I380" s="1" t="s">
        <v>12</v>
      </c>
      <c r="J380" s="1" t="s">
        <v>40</v>
      </c>
      <c r="K380" s="1" t="s">
        <v>14</v>
      </c>
      <c r="L380" s="1" t="s">
        <v>12</v>
      </c>
      <c r="M380" s="1" t="s">
        <v>12</v>
      </c>
      <c r="N380" s="1">
        <v>27.12</v>
      </c>
      <c r="O380" s="1" t="s">
        <v>26</v>
      </c>
      <c r="P380" s="1">
        <v>10</v>
      </c>
      <c r="Q380" s="1" t="s">
        <v>16</v>
      </c>
      <c r="R380" s="1" t="str">
        <f>IF(N380="","",VLOOKUP(N380,Prior_levels,2,TRUE))</f>
        <v>M</v>
      </c>
    </row>
    <row r="381" spans="1:18" x14ac:dyDescent="0.2">
      <c r="A381" s="1" t="s">
        <v>75</v>
      </c>
      <c r="B381" s="1" t="s">
        <v>10</v>
      </c>
      <c r="C381" s="2">
        <v>41155</v>
      </c>
      <c r="D381" s="1">
        <v>10</v>
      </c>
      <c r="E381" s="1" t="s">
        <v>39</v>
      </c>
      <c r="I381" s="1" t="s">
        <v>12</v>
      </c>
      <c r="J381" s="1" t="s">
        <v>40</v>
      </c>
      <c r="K381" s="1" t="s">
        <v>14</v>
      </c>
      <c r="L381" s="1" t="s">
        <v>12</v>
      </c>
      <c r="M381" s="1" t="s">
        <v>12</v>
      </c>
      <c r="N381" s="1">
        <v>27.12</v>
      </c>
      <c r="O381" s="1" t="s">
        <v>32</v>
      </c>
      <c r="P381" s="1" t="s">
        <v>37</v>
      </c>
      <c r="Q381" s="1" t="s">
        <v>16</v>
      </c>
      <c r="R381" s="1" t="str">
        <f>IF(N381="","",VLOOKUP(N381,Prior_levels,2,TRUE))</f>
        <v>M</v>
      </c>
    </row>
    <row r="382" spans="1:18" x14ac:dyDescent="0.2">
      <c r="A382" s="1" t="s">
        <v>75</v>
      </c>
      <c r="B382" s="1" t="s">
        <v>10</v>
      </c>
      <c r="C382" s="2">
        <v>41155</v>
      </c>
      <c r="D382" s="1">
        <v>10</v>
      </c>
      <c r="E382" s="1" t="s">
        <v>39</v>
      </c>
      <c r="I382" s="1" t="s">
        <v>12</v>
      </c>
      <c r="J382" s="1" t="s">
        <v>40</v>
      </c>
      <c r="K382" s="1" t="s">
        <v>14</v>
      </c>
      <c r="L382" s="1" t="s">
        <v>12</v>
      </c>
      <c r="M382" s="1" t="s">
        <v>12</v>
      </c>
      <c r="N382" s="1">
        <v>27.12</v>
      </c>
      <c r="O382" s="1" t="s">
        <v>27</v>
      </c>
      <c r="P382" s="1" t="s">
        <v>37</v>
      </c>
      <c r="Q382" s="1" t="s">
        <v>16</v>
      </c>
      <c r="R382" s="1" t="str">
        <f>IF(N382="","",VLOOKUP(N382,Prior_levels,2,TRUE))</f>
        <v>M</v>
      </c>
    </row>
    <row r="383" spans="1:18" x14ac:dyDescent="0.2">
      <c r="A383" s="1" t="s">
        <v>75</v>
      </c>
      <c r="B383" s="1" t="s">
        <v>10</v>
      </c>
      <c r="C383" s="2">
        <v>41155</v>
      </c>
      <c r="D383" s="1">
        <v>10</v>
      </c>
      <c r="E383" s="1" t="s">
        <v>39</v>
      </c>
      <c r="I383" s="1" t="s">
        <v>12</v>
      </c>
      <c r="J383" s="1" t="s">
        <v>40</v>
      </c>
      <c r="K383" s="1" t="s">
        <v>14</v>
      </c>
      <c r="L383" s="1" t="s">
        <v>12</v>
      </c>
      <c r="M383" s="1" t="s">
        <v>12</v>
      </c>
      <c r="N383" s="1">
        <v>27.12</v>
      </c>
      <c r="O383" s="1" t="s">
        <v>29</v>
      </c>
      <c r="P383" s="1" t="s">
        <v>37</v>
      </c>
      <c r="Q383" s="1" t="s">
        <v>16</v>
      </c>
      <c r="R383" s="1" t="str">
        <f>IF(N383="","",VLOOKUP(N383,Prior_levels,2,TRUE))</f>
        <v>M</v>
      </c>
    </row>
    <row r="384" spans="1:18" x14ac:dyDescent="0.2">
      <c r="A384" s="1" t="s">
        <v>75</v>
      </c>
      <c r="B384" s="1" t="s">
        <v>10</v>
      </c>
      <c r="C384" s="2">
        <v>41155</v>
      </c>
      <c r="D384" s="1">
        <v>10</v>
      </c>
      <c r="E384" s="1" t="s">
        <v>39</v>
      </c>
      <c r="I384" s="1" t="s">
        <v>12</v>
      </c>
      <c r="J384" s="1" t="s">
        <v>40</v>
      </c>
      <c r="K384" s="1" t="s">
        <v>14</v>
      </c>
      <c r="L384" s="1" t="s">
        <v>12</v>
      </c>
      <c r="M384" s="1" t="s">
        <v>12</v>
      </c>
      <c r="N384" s="1">
        <v>27.12</v>
      </c>
      <c r="O384" s="1" t="s">
        <v>30</v>
      </c>
      <c r="P384" s="1" t="s">
        <v>37</v>
      </c>
      <c r="Q384" s="1" t="s">
        <v>16</v>
      </c>
      <c r="R384" s="1" t="str">
        <f>IF(N384="","",VLOOKUP(N384,Prior_levels,2,TRUE))</f>
        <v>M</v>
      </c>
    </row>
    <row r="385" spans="1:18" x14ac:dyDescent="0.2">
      <c r="A385" s="1" t="s">
        <v>75</v>
      </c>
      <c r="B385" s="1" t="s">
        <v>10</v>
      </c>
      <c r="C385" s="2">
        <v>41155</v>
      </c>
      <c r="D385" s="1">
        <v>10</v>
      </c>
      <c r="E385" s="1" t="s">
        <v>39</v>
      </c>
      <c r="I385" s="1" t="s">
        <v>12</v>
      </c>
      <c r="J385" s="1" t="s">
        <v>40</v>
      </c>
      <c r="K385" s="1" t="s">
        <v>14</v>
      </c>
      <c r="L385" s="1" t="s">
        <v>12</v>
      </c>
      <c r="M385" s="1" t="s">
        <v>12</v>
      </c>
      <c r="N385" s="1">
        <v>27.12</v>
      </c>
      <c r="O385" s="1" t="s">
        <v>31</v>
      </c>
      <c r="P385" s="1" t="s">
        <v>37</v>
      </c>
      <c r="Q385" s="1" t="s">
        <v>16</v>
      </c>
      <c r="R385" s="1" t="str">
        <f>IF(N385="","",VLOOKUP(N385,Prior_levels,2,TRUE))</f>
        <v>M</v>
      </c>
    </row>
    <row r="386" spans="1:18" x14ac:dyDescent="0.2">
      <c r="A386" s="1" t="s">
        <v>76</v>
      </c>
      <c r="B386" s="1" t="s">
        <v>10</v>
      </c>
      <c r="C386" s="2">
        <v>41155</v>
      </c>
      <c r="D386" s="1">
        <v>10</v>
      </c>
      <c r="E386" s="1" t="s">
        <v>42</v>
      </c>
      <c r="I386" s="1" t="s">
        <v>12</v>
      </c>
      <c r="J386" s="1" t="s">
        <v>74</v>
      </c>
      <c r="K386" s="1" t="s">
        <v>14</v>
      </c>
      <c r="L386" s="1" t="s">
        <v>12</v>
      </c>
      <c r="M386" s="1" t="s">
        <v>12</v>
      </c>
      <c r="N386" s="1">
        <v>39.18</v>
      </c>
      <c r="O386" s="1" t="s">
        <v>15</v>
      </c>
      <c r="P386" s="1">
        <v>5.45</v>
      </c>
      <c r="Q386" s="1" t="s">
        <v>16</v>
      </c>
      <c r="R386" s="1" t="str">
        <f>IF(N386="","",VLOOKUP(N386,Prior_levels,2,TRUE))</f>
        <v>H</v>
      </c>
    </row>
    <row r="387" spans="1:18" x14ac:dyDescent="0.2">
      <c r="A387" s="1" t="s">
        <v>76</v>
      </c>
      <c r="B387" s="1" t="s">
        <v>10</v>
      </c>
      <c r="C387" s="2">
        <v>41155</v>
      </c>
      <c r="D387" s="1">
        <v>10</v>
      </c>
      <c r="E387" s="1" t="s">
        <v>42</v>
      </c>
      <c r="I387" s="1" t="s">
        <v>12</v>
      </c>
      <c r="J387" s="1" t="s">
        <v>74</v>
      </c>
      <c r="K387" s="1" t="s">
        <v>14</v>
      </c>
      <c r="L387" s="1" t="s">
        <v>12</v>
      </c>
      <c r="M387" s="1" t="s">
        <v>12</v>
      </c>
      <c r="N387" s="1">
        <v>39.18</v>
      </c>
      <c r="O387" s="1" t="s">
        <v>18</v>
      </c>
      <c r="P387" s="1">
        <v>10</v>
      </c>
      <c r="Q387" s="1" t="s">
        <v>16</v>
      </c>
      <c r="R387" s="1" t="str">
        <f>IF(N387="","",VLOOKUP(N387,Prior_levels,2,TRUE))</f>
        <v>H</v>
      </c>
    </row>
    <row r="388" spans="1:18" x14ac:dyDescent="0.2">
      <c r="A388" s="1" t="s">
        <v>76</v>
      </c>
      <c r="B388" s="1" t="s">
        <v>10</v>
      </c>
      <c r="C388" s="2">
        <v>41155</v>
      </c>
      <c r="D388" s="1">
        <v>10</v>
      </c>
      <c r="E388" s="1" t="s">
        <v>42</v>
      </c>
      <c r="I388" s="1" t="s">
        <v>12</v>
      </c>
      <c r="J388" s="1" t="s">
        <v>74</v>
      </c>
      <c r="K388" s="1" t="s">
        <v>14</v>
      </c>
      <c r="L388" s="1" t="s">
        <v>12</v>
      </c>
      <c r="M388" s="1" t="s">
        <v>12</v>
      </c>
      <c r="N388" s="1">
        <v>39.18</v>
      </c>
      <c r="O388" s="1" t="s">
        <v>19</v>
      </c>
      <c r="P388" s="1">
        <v>12</v>
      </c>
      <c r="Q388" s="1" t="s">
        <v>16</v>
      </c>
      <c r="R388" s="1" t="str">
        <f>IF(N388="","",VLOOKUP(N388,Prior_levels,2,TRUE))</f>
        <v>H</v>
      </c>
    </row>
    <row r="389" spans="1:18" x14ac:dyDescent="0.2">
      <c r="A389" s="1" t="s">
        <v>76</v>
      </c>
      <c r="B389" s="1" t="s">
        <v>10</v>
      </c>
      <c r="C389" s="2">
        <v>41155</v>
      </c>
      <c r="D389" s="1">
        <v>10</v>
      </c>
      <c r="E389" s="1" t="s">
        <v>42</v>
      </c>
      <c r="I389" s="1" t="s">
        <v>12</v>
      </c>
      <c r="J389" s="1" t="s">
        <v>74</v>
      </c>
      <c r="K389" s="1" t="s">
        <v>14</v>
      </c>
      <c r="L389" s="1" t="s">
        <v>12</v>
      </c>
      <c r="M389" s="1" t="s">
        <v>12</v>
      </c>
      <c r="N389" s="1">
        <v>39.18</v>
      </c>
      <c r="O389" s="1" t="s">
        <v>20</v>
      </c>
      <c r="P389" s="1">
        <v>16.5</v>
      </c>
      <c r="Q389" s="1" t="s">
        <v>16</v>
      </c>
      <c r="R389" s="1" t="str">
        <f>IF(N389="","",VLOOKUP(N389,Prior_levels,2,TRUE))</f>
        <v>H</v>
      </c>
    </row>
    <row r="390" spans="1:18" x14ac:dyDescent="0.2">
      <c r="A390" s="1" t="s">
        <v>76</v>
      </c>
      <c r="B390" s="1" t="s">
        <v>10</v>
      </c>
      <c r="C390" s="2">
        <v>41155</v>
      </c>
      <c r="D390" s="1">
        <v>10</v>
      </c>
      <c r="E390" s="1" t="s">
        <v>42</v>
      </c>
      <c r="I390" s="1" t="s">
        <v>12</v>
      </c>
      <c r="J390" s="1" t="s">
        <v>74</v>
      </c>
      <c r="K390" s="1" t="s">
        <v>14</v>
      </c>
      <c r="L390" s="1" t="s">
        <v>12</v>
      </c>
      <c r="M390" s="1" t="s">
        <v>12</v>
      </c>
      <c r="N390" s="1">
        <v>39.18</v>
      </c>
      <c r="O390" s="1" t="s">
        <v>21</v>
      </c>
      <c r="P390" s="1">
        <v>16</v>
      </c>
      <c r="Q390" s="1" t="s">
        <v>16</v>
      </c>
      <c r="R390" s="1" t="str">
        <f>IF(N390="","",VLOOKUP(N390,Prior_levels,2,TRUE))</f>
        <v>H</v>
      </c>
    </row>
    <row r="391" spans="1:18" x14ac:dyDescent="0.2">
      <c r="A391" s="1" t="s">
        <v>76</v>
      </c>
      <c r="B391" s="1" t="s">
        <v>10</v>
      </c>
      <c r="C391" s="2">
        <v>41155</v>
      </c>
      <c r="D391" s="1">
        <v>10</v>
      </c>
      <c r="E391" s="1" t="s">
        <v>42</v>
      </c>
      <c r="I391" s="1" t="s">
        <v>12</v>
      </c>
      <c r="J391" s="1" t="s">
        <v>74</v>
      </c>
      <c r="K391" s="1" t="s">
        <v>14</v>
      </c>
      <c r="L391" s="1" t="s">
        <v>12</v>
      </c>
      <c r="M391" s="1" t="s">
        <v>12</v>
      </c>
      <c r="N391" s="1">
        <v>39.18</v>
      </c>
      <c r="O391" s="1" t="s">
        <v>26</v>
      </c>
      <c r="P391" s="1">
        <v>12</v>
      </c>
      <c r="Q391" s="1" t="s">
        <v>16</v>
      </c>
      <c r="R391" s="1" t="str">
        <f>IF(N391="","",VLOOKUP(N391,Prior_levels,2,TRUE))</f>
        <v>H</v>
      </c>
    </row>
    <row r="392" spans="1:18" x14ac:dyDescent="0.2">
      <c r="A392" s="1" t="s">
        <v>76</v>
      </c>
      <c r="B392" s="1" t="s">
        <v>10</v>
      </c>
      <c r="C392" s="2">
        <v>41155</v>
      </c>
      <c r="D392" s="1">
        <v>10</v>
      </c>
      <c r="E392" s="1" t="s">
        <v>42</v>
      </c>
      <c r="I392" s="1" t="s">
        <v>12</v>
      </c>
      <c r="J392" s="1" t="s">
        <v>74</v>
      </c>
      <c r="K392" s="1" t="s">
        <v>14</v>
      </c>
      <c r="L392" s="1" t="s">
        <v>12</v>
      </c>
      <c r="M392" s="1" t="s">
        <v>12</v>
      </c>
      <c r="N392" s="1">
        <v>39.18</v>
      </c>
      <c r="O392" s="1" t="s">
        <v>27</v>
      </c>
      <c r="P392" s="1" t="s">
        <v>37</v>
      </c>
      <c r="Q392" s="1" t="s">
        <v>16</v>
      </c>
      <c r="R392" s="1" t="str">
        <f>IF(N392="","",VLOOKUP(N392,Prior_levels,2,TRUE))</f>
        <v>H</v>
      </c>
    </row>
    <row r="393" spans="1:18" x14ac:dyDescent="0.2">
      <c r="A393" s="1" t="s">
        <v>76</v>
      </c>
      <c r="B393" s="1" t="s">
        <v>10</v>
      </c>
      <c r="C393" s="2">
        <v>41155</v>
      </c>
      <c r="D393" s="1">
        <v>10</v>
      </c>
      <c r="E393" s="1" t="s">
        <v>42</v>
      </c>
      <c r="I393" s="1" t="s">
        <v>12</v>
      </c>
      <c r="J393" s="1" t="s">
        <v>74</v>
      </c>
      <c r="K393" s="1" t="s">
        <v>14</v>
      </c>
      <c r="L393" s="1" t="s">
        <v>12</v>
      </c>
      <c r="M393" s="1" t="s">
        <v>12</v>
      </c>
      <c r="N393" s="1">
        <v>39.18</v>
      </c>
      <c r="O393" s="1" t="s">
        <v>29</v>
      </c>
      <c r="P393" s="1" t="s">
        <v>37</v>
      </c>
      <c r="Q393" s="1" t="s">
        <v>16</v>
      </c>
      <c r="R393" s="1" t="str">
        <f>IF(N393="","",VLOOKUP(N393,Prior_levels,2,TRUE))</f>
        <v>H</v>
      </c>
    </row>
    <row r="394" spans="1:18" x14ac:dyDescent="0.2">
      <c r="A394" s="1" t="s">
        <v>76</v>
      </c>
      <c r="B394" s="1" t="s">
        <v>10</v>
      </c>
      <c r="C394" s="2">
        <v>41155</v>
      </c>
      <c r="D394" s="1">
        <v>10</v>
      </c>
      <c r="E394" s="1" t="s">
        <v>42</v>
      </c>
      <c r="I394" s="1" t="s">
        <v>12</v>
      </c>
      <c r="J394" s="1" t="s">
        <v>74</v>
      </c>
      <c r="K394" s="1" t="s">
        <v>14</v>
      </c>
      <c r="L394" s="1" t="s">
        <v>12</v>
      </c>
      <c r="M394" s="1" t="s">
        <v>12</v>
      </c>
      <c r="N394" s="1">
        <v>39.18</v>
      </c>
      <c r="O394" s="1" t="s">
        <v>30</v>
      </c>
      <c r="P394" s="1" t="s">
        <v>37</v>
      </c>
      <c r="Q394" s="1" t="s">
        <v>16</v>
      </c>
      <c r="R394" s="1" t="str">
        <f>IF(N394="","",VLOOKUP(N394,Prior_levels,2,TRUE))</f>
        <v>H</v>
      </c>
    </row>
    <row r="395" spans="1:18" x14ac:dyDescent="0.2">
      <c r="A395" s="1" t="s">
        <v>76</v>
      </c>
      <c r="B395" s="1" t="s">
        <v>10</v>
      </c>
      <c r="C395" s="2">
        <v>41155</v>
      </c>
      <c r="D395" s="1">
        <v>10</v>
      </c>
      <c r="E395" s="1" t="s">
        <v>42</v>
      </c>
      <c r="I395" s="1" t="s">
        <v>12</v>
      </c>
      <c r="J395" s="1" t="s">
        <v>74</v>
      </c>
      <c r="K395" s="1" t="s">
        <v>14</v>
      </c>
      <c r="L395" s="1" t="s">
        <v>12</v>
      </c>
      <c r="M395" s="1" t="s">
        <v>12</v>
      </c>
      <c r="N395" s="1">
        <v>39.18</v>
      </c>
      <c r="O395" s="1" t="s">
        <v>31</v>
      </c>
      <c r="P395" s="1" t="s">
        <v>37</v>
      </c>
      <c r="Q395" s="1" t="s">
        <v>16</v>
      </c>
      <c r="R395" s="1" t="str">
        <f>IF(N395="","",VLOOKUP(N395,Prior_levels,2,TRUE))</f>
        <v>H</v>
      </c>
    </row>
    <row r="396" spans="1:18" x14ac:dyDescent="0.2">
      <c r="A396" s="1" t="s">
        <v>76</v>
      </c>
      <c r="B396" s="1" t="s">
        <v>10</v>
      </c>
      <c r="C396" s="2">
        <v>41155</v>
      </c>
      <c r="D396" s="1">
        <v>10</v>
      </c>
      <c r="E396" s="1" t="s">
        <v>42</v>
      </c>
      <c r="I396" s="1" t="s">
        <v>12</v>
      </c>
      <c r="J396" s="1" t="s">
        <v>74</v>
      </c>
      <c r="K396" s="1" t="s">
        <v>14</v>
      </c>
      <c r="L396" s="1" t="s">
        <v>12</v>
      </c>
      <c r="M396" s="1" t="s">
        <v>12</v>
      </c>
      <c r="N396" s="1">
        <v>39.18</v>
      </c>
      <c r="O396" s="1" t="s">
        <v>32</v>
      </c>
      <c r="P396" s="1" t="s">
        <v>37</v>
      </c>
      <c r="Q396" s="1" t="s">
        <v>16</v>
      </c>
      <c r="R396" s="1" t="str">
        <f>IF(N396="","",VLOOKUP(N396,Prior_levels,2,TRUE))</f>
        <v>H</v>
      </c>
    </row>
    <row r="397" spans="1:18" x14ac:dyDescent="0.2">
      <c r="A397" s="1" t="s">
        <v>77</v>
      </c>
      <c r="B397" s="1" t="s">
        <v>10</v>
      </c>
      <c r="C397" s="2">
        <v>41155</v>
      </c>
      <c r="D397" s="1">
        <v>10</v>
      </c>
      <c r="E397" s="1" t="s">
        <v>47</v>
      </c>
      <c r="I397" s="1" t="s">
        <v>12</v>
      </c>
      <c r="J397" s="1" t="s">
        <v>40</v>
      </c>
      <c r="K397" s="1" t="s">
        <v>14</v>
      </c>
      <c r="L397" s="1" t="s">
        <v>12</v>
      </c>
      <c r="M397" s="1" t="s">
        <v>12</v>
      </c>
      <c r="N397" s="1">
        <v>33.18</v>
      </c>
      <c r="O397" s="1" t="s">
        <v>15</v>
      </c>
      <c r="P397" s="1">
        <v>6.55</v>
      </c>
      <c r="Q397" s="1" t="s">
        <v>16</v>
      </c>
      <c r="R397" s="1" t="str">
        <f>IF(N397="","",VLOOKUP(N397,Prior_levels,2,TRUE))</f>
        <v>H</v>
      </c>
    </row>
    <row r="398" spans="1:18" x14ac:dyDescent="0.2">
      <c r="A398" s="1" t="s">
        <v>77</v>
      </c>
      <c r="B398" s="1" t="s">
        <v>10</v>
      </c>
      <c r="C398" s="2">
        <v>41155</v>
      </c>
      <c r="D398" s="1">
        <v>10</v>
      </c>
      <c r="E398" s="1" t="s">
        <v>47</v>
      </c>
      <c r="I398" s="1" t="s">
        <v>12</v>
      </c>
      <c r="J398" s="1" t="s">
        <v>40</v>
      </c>
      <c r="K398" s="1" t="s">
        <v>14</v>
      </c>
      <c r="L398" s="1" t="s">
        <v>12</v>
      </c>
      <c r="M398" s="1" t="s">
        <v>12</v>
      </c>
      <c r="N398" s="1">
        <v>33.18</v>
      </c>
      <c r="O398" s="1" t="s">
        <v>17</v>
      </c>
      <c r="P398" s="1">
        <v>0</v>
      </c>
      <c r="Q398" s="1" t="s">
        <v>16</v>
      </c>
      <c r="R398" s="1" t="str">
        <f>IF(N398="","",VLOOKUP(N398,Prior_levels,2,TRUE))</f>
        <v>H</v>
      </c>
    </row>
    <row r="399" spans="1:18" x14ac:dyDescent="0.2">
      <c r="A399" s="1" t="s">
        <v>77</v>
      </c>
      <c r="B399" s="1" t="s">
        <v>10</v>
      </c>
      <c r="C399" s="2">
        <v>41155</v>
      </c>
      <c r="D399" s="1">
        <v>10</v>
      </c>
      <c r="E399" s="1" t="s">
        <v>47</v>
      </c>
      <c r="I399" s="1" t="s">
        <v>12</v>
      </c>
      <c r="J399" s="1" t="s">
        <v>40</v>
      </c>
      <c r="K399" s="1" t="s">
        <v>14</v>
      </c>
      <c r="L399" s="1" t="s">
        <v>12</v>
      </c>
      <c r="M399" s="1" t="s">
        <v>12</v>
      </c>
      <c r="N399" s="1">
        <v>33.18</v>
      </c>
      <c r="O399" s="1" t="s">
        <v>18</v>
      </c>
      <c r="P399" s="1">
        <v>12</v>
      </c>
      <c r="Q399" s="1" t="s">
        <v>16</v>
      </c>
      <c r="R399" s="1" t="str">
        <f>IF(N399="","",VLOOKUP(N399,Prior_levels,2,TRUE))</f>
        <v>H</v>
      </c>
    </row>
    <row r="400" spans="1:18" x14ac:dyDescent="0.2">
      <c r="A400" s="1" t="s">
        <v>77</v>
      </c>
      <c r="B400" s="1" t="s">
        <v>10</v>
      </c>
      <c r="C400" s="2">
        <v>41155</v>
      </c>
      <c r="D400" s="1">
        <v>10</v>
      </c>
      <c r="E400" s="1" t="s">
        <v>47</v>
      </c>
      <c r="I400" s="1" t="s">
        <v>12</v>
      </c>
      <c r="J400" s="1" t="s">
        <v>40</v>
      </c>
      <c r="K400" s="1" t="s">
        <v>14</v>
      </c>
      <c r="L400" s="1" t="s">
        <v>12</v>
      </c>
      <c r="M400" s="1" t="s">
        <v>12</v>
      </c>
      <c r="N400" s="1">
        <v>33.18</v>
      </c>
      <c r="O400" s="1" t="s">
        <v>19</v>
      </c>
      <c r="P400" s="1">
        <v>14</v>
      </c>
      <c r="Q400" s="1" t="s">
        <v>16</v>
      </c>
      <c r="R400" s="1" t="str">
        <f>IF(N400="","",VLOOKUP(N400,Prior_levels,2,TRUE))</f>
        <v>H</v>
      </c>
    </row>
    <row r="401" spans="1:18" x14ac:dyDescent="0.2">
      <c r="A401" s="1" t="s">
        <v>77</v>
      </c>
      <c r="B401" s="1" t="s">
        <v>10</v>
      </c>
      <c r="C401" s="2">
        <v>41155</v>
      </c>
      <c r="D401" s="1">
        <v>10</v>
      </c>
      <c r="E401" s="1" t="s">
        <v>47</v>
      </c>
      <c r="I401" s="1" t="s">
        <v>12</v>
      </c>
      <c r="J401" s="1" t="s">
        <v>40</v>
      </c>
      <c r="K401" s="1" t="s">
        <v>14</v>
      </c>
      <c r="L401" s="1" t="s">
        <v>12</v>
      </c>
      <c r="M401" s="1" t="s">
        <v>12</v>
      </c>
      <c r="N401" s="1">
        <v>33.18</v>
      </c>
      <c r="O401" s="1" t="s">
        <v>20</v>
      </c>
      <c r="P401" s="1">
        <v>21</v>
      </c>
      <c r="Q401" s="1" t="s">
        <v>16</v>
      </c>
      <c r="R401" s="1" t="str">
        <f>IF(N401="","",VLOOKUP(N401,Prior_levels,2,TRUE))</f>
        <v>H</v>
      </c>
    </row>
    <row r="402" spans="1:18" x14ac:dyDescent="0.2">
      <c r="A402" s="1" t="s">
        <v>77</v>
      </c>
      <c r="B402" s="1" t="s">
        <v>10</v>
      </c>
      <c r="C402" s="2">
        <v>41155</v>
      </c>
      <c r="D402" s="1">
        <v>10</v>
      </c>
      <c r="E402" s="1" t="s">
        <v>47</v>
      </c>
      <c r="I402" s="1" t="s">
        <v>12</v>
      </c>
      <c r="J402" s="1" t="s">
        <v>40</v>
      </c>
      <c r="K402" s="1" t="s">
        <v>14</v>
      </c>
      <c r="L402" s="1" t="s">
        <v>12</v>
      </c>
      <c r="M402" s="1" t="s">
        <v>12</v>
      </c>
      <c r="N402" s="1">
        <v>33.18</v>
      </c>
      <c r="O402" s="1" t="s">
        <v>21</v>
      </c>
      <c r="P402" s="1">
        <v>18.5</v>
      </c>
      <c r="Q402" s="1" t="s">
        <v>16</v>
      </c>
      <c r="R402" s="1" t="str">
        <f>IF(N402="","",VLOOKUP(N402,Prior_levels,2,TRUE))</f>
        <v>H</v>
      </c>
    </row>
    <row r="403" spans="1:18" x14ac:dyDescent="0.2">
      <c r="A403" s="1" t="s">
        <v>77</v>
      </c>
      <c r="B403" s="1" t="s">
        <v>10</v>
      </c>
      <c r="C403" s="2">
        <v>41155</v>
      </c>
      <c r="D403" s="1">
        <v>10</v>
      </c>
      <c r="E403" s="1" t="s">
        <v>47</v>
      </c>
      <c r="I403" s="1" t="s">
        <v>12</v>
      </c>
      <c r="J403" s="1" t="s">
        <v>40</v>
      </c>
      <c r="K403" s="1" t="s">
        <v>14</v>
      </c>
      <c r="L403" s="1" t="s">
        <v>12</v>
      </c>
      <c r="M403" s="1" t="s">
        <v>12</v>
      </c>
      <c r="N403" s="1">
        <v>33.18</v>
      </c>
      <c r="O403" s="1" t="s">
        <v>22</v>
      </c>
      <c r="P403" s="1">
        <v>-0.64</v>
      </c>
      <c r="Q403" s="1" t="s">
        <v>16</v>
      </c>
      <c r="R403" s="1" t="str">
        <f>IF(N403="","",VLOOKUP(N403,Prior_levels,2,TRUE))</f>
        <v>H</v>
      </c>
    </row>
    <row r="404" spans="1:18" x14ac:dyDescent="0.2">
      <c r="A404" s="1" t="s">
        <v>77</v>
      </c>
      <c r="B404" s="1" t="s">
        <v>10</v>
      </c>
      <c r="C404" s="2">
        <v>41155</v>
      </c>
      <c r="D404" s="1">
        <v>10</v>
      </c>
      <c r="E404" s="1" t="s">
        <v>47</v>
      </c>
      <c r="I404" s="1" t="s">
        <v>12</v>
      </c>
      <c r="J404" s="1" t="s">
        <v>40</v>
      </c>
      <c r="K404" s="1" t="s">
        <v>14</v>
      </c>
      <c r="L404" s="1" t="s">
        <v>12</v>
      </c>
      <c r="M404" s="1" t="s">
        <v>12</v>
      </c>
      <c r="N404" s="1">
        <v>33.18</v>
      </c>
      <c r="O404" s="1" t="s">
        <v>23</v>
      </c>
      <c r="P404" s="1">
        <v>0.34</v>
      </c>
      <c r="Q404" s="1" t="s">
        <v>16</v>
      </c>
      <c r="R404" s="1" t="str">
        <f>IF(N404="","",VLOOKUP(N404,Prior_levels,2,TRUE))</f>
        <v>H</v>
      </c>
    </row>
    <row r="405" spans="1:18" x14ac:dyDescent="0.2">
      <c r="A405" s="1" t="s">
        <v>77</v>
      </c>
      <c r="B405" s="1" t="s">
        <v>10</v>
      </c>
      <c r="C405" s="2">
        <v>41155</v>
      </c>
      <c r="D405" s="1">
        <v>10</v>
      </c>
      <c r="E405" s="1" t="s">
        <v>47</v>
      </c>
      <c r="I405" s="1" t="s">
        <v>12</v>
      </c>
      <c r="J405" s="1" t="s">
        <v>40</v>
      </c>
      <c r="K405" s="1" t="s">
        <v>14</v>
      </c>
      <c r="L405" s="1" t="s">
        <v>12</v>
      </c>
      <c r="M405" s="1" t="s">
        <v>12</v>
      </c>
      <c r="N405" s="1">
        <v>33.18</v>
      </c>
      <c r="O405" s="1" t="s">
        <v>25</v>
      </c>
      <c r="P405" s="1">
        <v>-1.1200000000000001</v>
      </c>
      <c r="Q405" s="1" t="s">
        <v>16</v>
      </c>
      <c r="R405" s="1" t="str">
        <f>IF(N405="","",VLOOKUP(N405,Prior_levels,2,TRUE))</f>
        <v>H</v>
      </c>
    </row>
    <row r="406" spans="1:18" x14ac:dyDescent="0.2">
      <c r="A406" s="1" t="s">
        <v>77</v>
      </c>
      <c r="B406" s="1" t="s">
        <v>10</v>
      </c>
      <c r="C406" s="2">
        <v>41155</v>
      </c>
      <c r="D406" s="1">
        <v>10</v>
      </c>
      <c r="E406" s="1" t="s">
        <v>47</v>
      </c>
      <c r="I406" s="1" t="s">
        <v>12</v>
      </c>
      <c r="J406" s="1" t="s">
        <v>40</v>
      </c>
      <c r="K406" s="1" t="s">
        <v>14</v>
      </c>
      <c r="L406" s="1" t="s">
        <v>12</v>
      </c>
      <c r="M406" s="1" t="s">
        <v>12</v>
      </c>
      <c r="N406" s="1">
        <v>33.18</v>
      </c>
      <c r="O406" s="1" t="s">
        <v>26</v>
      </c>
      <c r="P406" s="1">
        <v>10</v>
      </c>
      <c r="Q406" s="1" t="s">
        <v>16</v>
      </c>
      <c r="R406" s="1" t="str">
        <f>IF(N406="","",VLOOKUP(N406,Prior_levels,2,TRUE))</f>
        <v>H</v>
      </c>
    </row>
    <row r="407" spans="1:18" x14ac:dyDescent="0.2">
      <c r="A407" s="1" t="s">
        <v>77</v>
      </c>
      <c r="B407" s="1" t="s">
        <v>10</v>
      </c>
      <c r="C407" s="2">
        <v>41155</v>
      </c>
      <c r="D407" s="1">
        <v>10</v>
      </c>
      <c r="E407" s="1" t="s">
        <v>47</v>
      </c>
      <c r="I407" s="1" t="s">
        <v>12</v>
      </c>
      <c r="J407" s="1" t="s">
        <v>40</v>
      </c>
      <c r="K407" s="1" t="s">
        <v>14</v>
      </c>
      <c r="L407" s="1" t="s">
        <v>12</v>
      </c>
      <c r="M407" s="1" t="s">
        <v>12</v>
      </c>
      <c r="N407" s="1">
        <v>33.18</v>
      </c>
      <c r="O407" s="1" t="s">
        <v>24</v>
      </c>
      <c r="P407" s="1">
        <v>1.73</v>
      </c>
      <c r="Q407" s="1" t="s">
        <v>16</v>
      </c>
      <c r="R407" s="1" t="str">
        <f>IF(N407="","",VLOOKUP(N407,Prior_levels,2,TRUE))</f>
        <v>H</v>
      </c>
    </row>
    <row r="408" spans="1:18" x14ac:dyDescent="0.2">
      <c r="A408" s="1" t="s">
        <v>77</v>
      </c>
      <c r="B408" s="1" t="s">
        <v>10</v>
      </c>
      <c r="C408" s="2">
        <v>41155</v>
      </c>
      <c r="D408" s="1">
        <v>10</v>
      </c>
      <c r="E408" s="1" t="s">
        <v>47</v>
      </c>
      <c r="I408" s="1" t="s">
        <v>12</v>
      </c>
      <c r="J408" s="1" t="s">
        <v>40</v>
      </c>
      <c r="K408" s="1" t="s">
        <v>14</v>
      </c>
      <c r="L408" s="1" t="s">
        <v>12</v>
      </c>
      <c r="M408" s="1" t="s">
        <v>12</v>
      </c>
      <c r="N408" s="1">
        <v>33.18</v>
      </c>
      <c r="O408" s="1" t="s">
        <v>27</v>
      </c>
      <c r="P408" s="1" t="s">
        <v>37</v>
      </c>
      <c r="Q408" s="1" t="s">
        <v>16</v>
      </c>
      <c r="R408" s="1" t="str">
        <f>IF(N408="","",VLOOKUP(N408,Prior_levels,2,TRUE))</f>
        <v>H</v>
      </c>
    </row>
    <row r="409" spans="1:18" x14ac:dyDescent="0.2">
      <c r="A409" s="1" t="s">
        <v>77</v>
      </c>
      <c r="B409" s="1" t="s">
        <v>10</v>
      </c>
      <c r="C409" s="2">
        <v>41155</v>
      </c>
      <c r="D409" s="1">
        <v>10</v>
      </c>
      <c r="E409" s="1" t="s">
        <v>47</v>
      </c>
      <c r="I409" s="1" t="s">
        <v>12</v>
      </c>
      <c r="J409" s="1" t="s">
        <v>40</v>
      </c>
      <c r="K409" s="1" t="s">
        <v>14</v>
      </c>
      <c r="L409" s="1" t="s">
        <v>12</v>
      </c>
      <c r="M409" s="1" t="s">
        <v>12</v>
      </c>
      <c r="N409" s="1">
        <v>33.18</v>
      </c>
      <c r="O409" s="1" t="s">
        <v>29</v>
      </c>
      <c r="P409" s="1" t="s">
        <v>37</v>
      </c>
      <c r="Q409" s="1" t="s">
        <v>16</v>
      </c>
      <c r="R409" s="1" t="str">
        <f>IF(N409="","",VLOOKUP(N409,Prior_levels,2,TRUE))</f>
        <v>H</v>
      </c>
    </row>
    <row r="410" spans="1:18" x14ac:dyDescent="0.2">
      <c r="A410" s="1" t="s">
        <v>77</v>
      </c>
      <c r="B410" s="1" t="s">
        <v>10</v>
      </c>
      <c r="C410" s="2">
        <v>41155</v>
      </c>
      <c r="D410" s="1">
        <v>10</v>
      </c>
      <c r="E410" s="1" t="s">
        <v>47</v>
      </c>
      <c r="I410" s="1" t="s">
        <v>12</v>
      </c>
      <c r="J410" s="1" t="s">
        <v>40</v>
      </c>
      <c r="K410" s="1" t="s">
        <v>14</v>
      </c>
      <c r="L410" s="1" t="s">
        <v>12</v>
      </c>
      <c r="M410" s="1" t="s">
        <v>12</v>
      </c>
      <c r="N410" s="1">
        <v>33.18</v>
      </c>
      <c r="O410" s="1" t="s">
        <v>30</v>
      </c>
      <c r="P410" s="1" t="s">
        <v>37</v>
      </c>
      <c r="Q410" s="1" t="s">
        <v>16</v>
      </c>
      <c r="R410" s="1" t="str">
        <f>IF(N410="","",VLOOKUP(N410,Prior_levels,2,TRUE))</f>
        <v>H</v>
      </c>
    </row>
    <row r="411" spans="1:18" x14ac:dyDescent="0.2">
      <c r="A411" s="1" t="s">
        <v>77</v>
      </c>
      <c r="B411" s="1" t="s">
        <v>10</v>
      </c>
      <c r="C411" s="2">
        <v>41155</v>
      </c>
      <c r="D411" s="1">
        <v>10</v>
      </c>
      <c r="E411" s="1" t="s">
        <v>47</v>
      </c>
      <c r="I411" s="1" t="s">
        <v>12</v>
      </c>
      <c r="J411" s="1" t="s">
        <v>40</v>
      </c>
      <c r="K411" s="1" t="s">
        <v>14</v>
      </c>
      <c r="L411" s="1" t="s">
        <v>12</v>
      </c>
      <c r="M411" s="1" t="s">
        <v>12</v>
      </c>
      <c r="N411" s="1">
        <v>33.18</v>
      </c>
      <c r="O411" s="1" t="s">
        <v>31</v>
      </c>
      <c r="P411" s="1" t="s">
        <v>37</v>
      </c>
      <c r="Q411" s="1" t="s">
        <v>16</v>
      </c>
      <c r="R411" s="1" t="str">
        <f>IF(N411="","",VLOOKUP(N411,Prior_levels,2,TRUE))</f>
        <v>H</v>
      </c>
    </row>
    <row r="412" spans="1:18" x14ac:dyDescent="0.2">
      <c r="A412" s="1" t="s">
        <v>77</v>
      </c>
      <c r="B412" s="1" t="s">
        <v>10</v>
      </c>
      <c r="C412" s="2">
        <v>41155</v>
      </c>
      <c r="D412" s="1">
        <v>10</v>
      </c>
      <c r="E412" s="1" t="s">
        <v>47</v>
      </c>
      <c r="I412" s="1" t="s">
        <v>12</v>
      </c>
      <c r="J412" s="1" t="s">
        <v>40</v>
      </c>
      <c r="K412" s="1" t="s">
        <v>14</v>
      </c>
      <c r="L412" s="1" t="s">
        <v>12</v>
      </c>
      <c r="M412" s="1" t="s">
        <v>12</v>
      </c>
      <c r="N412" s="1">
        <v>33.18</v>
      </c>
      <c r="O412" s="1" t="s">
        <v>32</v>
      </c>
      <c r="P412" s="1" t="s">
        <v>37</v>
      </c>
      <c r="Q412" s="1" t="s">
        <v>16</v>
      </c>
      <c r="R412" s="1" t="str">
        <f>IF(N412="","",VLOOKUP(N412,Prior_levels,2,TRUE))</f>
        <v>H</v>
      </c>
    </row>
    <row r="413" spans="1:18" x14ac:dyDescent="0.2">
      <c r="A413" s="1" t="s">
        <v>78</v>
      </c>
      <c r="B413" s="1" t="s">
        <v>10</v>
      </c>
      <c r="C413" s="2">
        <v>41155</v>
      </c>
      <c r="D413" s="1">
        <v>10</v>
      </c>
      <c r="E413" s="1" t="s">
        <v>42</v>
      </c>
      <c r="I413" s="1" t="s">
        <v>35</v>
      </c>
      <c r="J413" s="1" t="s">
        <v>40</v>
      </c>
      <c r="K413" s="1" t="s">
        <v>14</v>
      </c>
      <c r="L413" s="1" t="s">
        <v>35</v>
      </c>
      <c r="M413" s="1" t="s">
        <v>35</v>
      </c>
      <c r="N413" s="1">
        <v>21.12</v>
      </c>
      <c r="O413" s="1" t="s">
        <v>15</v>
      </c>
      <c r="P413" s="1">
        <v>3.85</v>
      </c>
      <c r="Q413" s="1" t="s">
        <v>16</v>
      </c>
      <c r="R413" s="1" t="str">
        <f>IF(N413="","",VLOOKUP(N413,Prior_levels,2,TRUE))</f>
        <v>L</v>
      </c>
    </row>
    <row r="414" spans="1:18" x14ac:dyDescent="0.2">
      <c r="A414" s="1" t="s">
        <v>78</v>
      </c>
      <c r="B414" s="1" t="s">
        <v>10</v>
      </c>
      <c r="C414" s="2">
        <v>41155</v>
      </c>
      <c r="D414" s="1">
        <v>10</v>
      </c>
      <c r="E414" s="1" t="s">
        <v>42</v>
      </c>
      <c r="I414" s="1" t="s">
        <v>35</v>
      </c>
      <c r="J414" s="1" t="s">
        <v>40</v>
      </c>
      <c r="K414" s="1" t="s">
        <v>14</v>
      </c>
      <c r="L414" s="1" t="s">
        <v>35</v>
      </c>
      <c r="M414" s="1" t="s">
        <v>35</v>
      </c>
      <c r="N414" s="1">
        <v>21.12</v>
      </c>
      <c r="O414" s="1" t="s">
        <v>17</v>
      </c>
      <c r="P414" s="1">
        <v>1.02</v>
      </c>
      <c r="Q414" s="1" t="s">
        <v>16</v>
      </c>
      <c r="R414" s="1" t="str">
        <f>IF(N414="","",VLOOKUP(N414,Prior_levels,2,TRUE))</f>
        <v>L</v>
      </c>
    </row>
    <row r="415" spans="1:18" x14ac:dyDescent="0.2">
      <c r="A415" s="1" t="s">
        <v>78</v>
      </c>
      <c r="B415" s="1" t="s">
        <v>10</v>
      </c>
      <c r="C415" s="2">
        <v>41155</v>
      </c>
      <c r="D415" s="1">
        <v>10</v>
      </c>
      <c r="E415" s="1" t="s">
        <v>42</v>
      </c>
      <c r="I415" s="1" t="s">
        <v>35</v>
      </c>
      <c r="J415" s="1" t="s">
        <v>40</v>
      </c>
      <c r="K415" s="1" t="s">
        <v>14</v>
      </c>
      <c r="L415" s="1" t="s">
        <v>35</v>
      </c>
      <c r="M415" s="1" t="s">
        <v>35</v>
      </c>
      <c r="N415" s="1">
        <v>21.12</v>
      </c>
      <c r="O415" s="1" t="s">
        <v>18</v>
      </c>
      <c r="P415" s="1">
        <v>10</v>
      </c>
      <c r="Q415" s="1" t="s">
        <v>16</v>
      </c>
      <c r="R415" s="1" t="str">
        <f>IF(N415="","",VLOOKUP(N415,Prior_levels,2,TRUE))</f>
        <v>L</v>
      </c>
    </row>
    <row r="416" spans="1:18" x14ac:dyDescent="0.2">
      <c r="A416" s="1" t="s">
        <v>78</v>
      </c>
      <c r="B416" s="1" t="s">
        <v>10</v>
      </c>
      <c r="C416" s="2">
        <v>41155</v>
      </c>
      <c r="D416" s="1">
        <v>10</v>
      </c>
      <c r="E416" s="1" t="s">
        <v>42</v>
      </c>
      <c r="I416" s="1" t="s">
        <v>35</v>
      </c>
      <c r="J416" s="1" t="s">
        <v>40</v>
      </c>
      <c r="K416" s="1" t="s">
        <v>14</v>
      </c>
      <c r="L416" s="1" t="s">
        <v>35</v>
      </c>
      <c r="M416" s="1" t="s">
        <v>35</v>
      </c>
      <c r="N416" s="1">
        <v>21.12</v>
      </c>
      <c r="O416" s="1" t="s">
        <v>19</v>
      </c>
      <c r="P416" s="1">
        <v>6</v>
      </c>
      <c r="Q416" s="1" t="s">
        <v>16</v>
      </c>
      <c r="R416" s="1" t="str">
        <f>IF(N416="","",VLOOKUP(N416,Prior_levels,2,TRUE))</f>
        <v>L</v>
      </c>
    </row>
    <row r="417" spans="1:18" x14ac:dyDescent="0.2">
      <c r="A417" s="1" t="s">
        <v>78</v>
      </c>
      <c r="B417" s="1" t="s">
        <v>10</v>
      </c>
      <c r="C417" s="2">
        <v>41155</v>
      </c>
      <c r="D417" s="1">
        <v>10</v>
      </c>
      <c r="E417" s="1" t="s">
        <v>42</v>
      </c>
      <c r="I417" s="1" t="s">
        <v>35</v>
      </c>
      <c r="J417" s="1" t="s">
        <v>40</v>
      </c>
      <c r="K417" s="1" t="s">
        <v>14</v>
      </c>
      <c r="L417" s="1" t="s">
        <v>35</v>
      </c>
      <c r="M417" s="1" t="s">
        <v>35</v>
      </c>
      <c r="N417" s="1">
        <v>21.12</v>
      </c>
      <c r="O417" s="1" t="s">
        <v>20</v>
      </c>
      <c r="P417" s="1">
        <v>10</v>
      </c>
      <c r="Q417" s="1" t="s">
        <v>16</v>
      </c>
      <c r="R417" s="1" t="str">
        <f>IF(N417="","",VLOOKUP(N417,Prior_levels,2,TRUE))</f>
        <v>L</v>
      </c>
    </row>
    <row r="418" spans="1:18" x14ac:dyDescent="0.2">
      <c r="A418" s="1" t="s">
        <v>78</v>
      </c>
      <c r="B418" s="1" t="s">
        <v>10</v>
      </c>
      <c r="C418" s="2">
        <v>41155</v>
      </c>
      <c r="D418" s="1">
        <v>10</v>
      </c>
      <c r="E418" s="1" t="s">
        <v>42</v>
      </c>
      <c r="I418" s="1" t="s">
        <v>35</v>
      </c>
      <c r="J418" s="1" t="s">
        <v>40</v>
      </c>
      <c r="K418" s="1" t="s">
        <v>14</v>
      </c>
      <c r="L418" s="1" t="s">
        <v>35</v>
      </c>
      <c r="M418" s="1" t="s">
        <v>35</v>
      </c>
      <c r="N418" s="1">
        <v>21.12</v>
      </c>
      <c r="O418" s="1" t="s">
        <v>21</v>
      </c>
      <c r="P418" s="1">
        <v>12.5</v>
      </c>
      <c r="Q418" s="1" t="s">
        <v>16</v>
      </c>
      <c r="R418" s="1" t="str">
        <f>IF(N418="","",VLOOKUP(N418,Prior_levels,2,TRUE))</f>
        <v>L</v>
      </c>
    </row>
    <row r="419" spans="1:18" x14ac:dyDescent="0.2">
      <c r="A419" s="1" t="s">
        <v>78</v>
      </c>
      <c r="B419" s="1" t="s">
        <v>10</v>
      </c>
      <c r="C419" s="2">
        <v>41155</v>
      </c>
      <c r="D419" s="1">
        <v>10</v>
      </c>
      <c r="E419" s="1" t="s">
        <v>42</v>
      </c>
      <c r="I419" s="1" t="s">
        <v>35</v>
      </c>
      <c r="J419" s="1" t="s">
        <v>40</v>
      </c>
      <c r="K419" s="1" t="s">
        <v>14</v>
      </c>
      <c r="L419" s="1" t="s">
        <v>35</v>
      </c>
      <c r="M419" s="1" t="s">
        <v>35</v>
      </c>
      <c r="N419" s="1">
        <v>21.12</v>
      </c>
      <c r="O419" s="1" t="s">
        <v>22</v>
      </c>
      <c r="P419" s="1">
        <v>1.34</v>
      </c>
      <c r="Q419" s="1" t="s">
        <v>16</v>
      </c>
      <c r="R419" s="1" t="str">
        <f>IF(N419="","",VLOOKUP(N419,Prior_levels,2,TRUE))</f>
        <v>L</v>
      </c>
    </row>
    <row r="420" spans="1:18" x14ac:dyDescent="0.2">
      <c r="A420" s="1" t="s">
        <v>78</v>
      </c>
      <c r="B420" s="1" t="s">
        <v>10</v>
      </c>
      <c r="C420" s="2">
        <v>41155</v>
      </c>
      <c r="D420" s="1">
        <v>10</v>
      </c>
      <c r="E420" s="1" t="s">
        <v>42</v>
      </c>
      <c r="I420" s="1" t="s">
        <v>35</v>
      </c>
      <c r="J420" s="1" t="s">
        <v>40</v>
      </c>
      <c r="K420" s="1" t="s">
        <v>14</v>
      </c>
      <c r="L420" s="1" t="s">
        <v>35</v>
      </c>
      <c r="M420" s="1" t="s">
        <v>35</v>
      </c>
      <c r="N420" s="1">
        <v>21.12</v>
      </c>
      <c r="O420" s="1" t="s">
        <v>23</v>
      </c>
      <c r="P420" s="1">
        <v>0.39</v>
      </c>
      <c r="Q420" s="1" t="s">
        <v>16</v>
      </c>
      <c r="R420" s="1" t="str">
        <f>IF(N420="","",VLOOKUP(N420,Prior_levels,2,TRUE))</f>
        <v>L</v>
      </c>
    </row>
    <row r="421" spans="1:18" x14ac:dyDescent="0.2">
      <c r="A421" s="1" t="s">
        <v>78</v>
      </c>
      <c r="B421" s="1" t="s">
        <v>10</v>
      </c>
      <c r="C421" s="2">
        <v>41155</v>
      </c>
      <c r="D421" s="1">
        <v>10</v>
      </c>
      <c r="E421" s="1" t="s">
        <v>42</v>
      </c>
      <c r="I421" s="1" t="s">
        <v>35</v>
      </c>
      <c r="J421" s="1" t="s">
        <v>40</v>
      </c>
      <c r="K421" s="1" t="s">
        <v>14</v>
      </c>
      <c r="L421" s="1" t="s">
        <v>35</v>
      </c>
      <c r="M421" s="1" t="s">
        <v>35</v>
      </c>
      <c r="N421" s="1">
        <v>21.12</v>
      </c>
      <c r="O421" s="1" t="s">
        <v>24</v>
      </c>
      <c r="P421" s="1">
        <v>5.49</v>
      </c>
      <c r="Q421" s="1" t="s">
        <v>16</v>
      </c>
      <c r="R421" s="1" t="str">
        <f>IF(N421="","",VLOOKUP(N421,Prior_levels,2,TRUE))</f>
        <v>L</v>
      </c>
    </row>
    <row r="422" spans="1:18" x14ac:dyDescent="0.2">
      <c r="A422" s="1" t="s">
        <v>78</v>
      </c>
      <c r="B422" s="1" t="s">
        <v>10</v>
      </c>
      <c r="C422" s="2">
        <v>41155</v>
      </c>
      <c r="D422" s="1">
        <v>10</v>
      </c>
      <c r="E422" s="1" t="s">
        <v>42</v>
      </c>
      <c r="I422" s="1" t="s">
        <v>35</v>
      </c>
      <c r="J422" s="1" t="s">
        <v>40</v>
      </c>
      <c r="K422" s="1" t="s">
        <v>14</v>
      </c>
      <c r="L422" s="1" t="s">
        <v>35</v>
      </c>
      <c r="M422" s="1" t="s">
        <v>35</v>
      </c>
      <c r="N422" s="1">
        <v>21.12</v>
      </c>
      <c r="O422" s="1" t="s">
        <v>25</v>
      </c>
      <c r="P422" s="1">
        <v>1.3</v>
      </c>
      <c r="Q422" s="1" t="s">
        <v>16</v>
      </c>
      <c r="R422" s="1" t="str">
        <f>IF(N422="","",VLOOKUP(N422,Prior_levels,2,TRUE))</f>
        <v>L</v>
      </c>
    </row>
    <row r="423" spans="1:18" x14ac:dyDescent="0.2">
      <c r="A423" s="1" t="s">
        <v>78</v>
      </c>
      <c r="B423" s="1" t="s">
        <v>10</v>
      </c>
      <c r="C423" s="2">
        <v>41155</v>
      </c>
      <c r="D423" s="1">
        <v>10</v>
      </c>
      <c r="E423" s="1" t="s">
        <v>42</v>
      </c>
      <c r="I423" s="1" t="s">
        <v>35</v>
      </c>
      <c r="J423" s="1" t="s">
        <v>40</v>
      </c>
      <c r="K423" s="1" t="s">
        <v>14</v>
      </c>
      <c r="L423" s="1" t="s">
        <v>35</v>
      </c>
      <c r="M423" s="1" t="s">
        <v>35</v>
      </c>
      <c r="N423" s="1">
        <v>21.12</v>
      </c>
      <c r="O423" s="1" t="s">
        <v>26</v>
      </c>
      <c r="P423" s="1">
        <v>5</v>
      </c>
      <c r="Q423" s="1" t="s">
        <v>16</v>
      </c>
      <c r="R423" s="1" t="str">
        <f>IF(N423="","",VLOOKUP(N423,Prior_levels,2,TRUE))</f>
        <v>L</v>
      </c>
    </row>
    <row r="424" spans="1:18" x14ac:dyDescent="0.2">
      <c r="A424" s="1" t="s">
        <v>78</v>
      </c>
      <c r="B424" s="1" t="s">
        <v>10</v>
      </c>
      <c r="C424" s="2">
        <v>41155</v>
      </c>
      <c r="D424" s="1">
        <v>10</v>
      </c>
      <c r="E424" s="1" t="s">
        <v>42</v>
      </c>
      <c r="I424" s="1" t="s">
        <v>35</v>
      </c>
      <c r="J424" s="1" t="s">
        <v>40</v>
      </c>
      <c r="K424" s="1" t="s">
        <v>14</v>
      </c>
      <c r="L424" s="1" t="s">
        <v>35</v>
      </c>
      <c r="M424" s="1" t="s">
        <v>35</v>
      </c>
      <c r="N424" s="1">
        <v>21.12</v>
      </c>
      <c r="O424" s="1" t="s">
        <v>32</v>
      </c>
      <c r="P424" s="1" t="s">
        <v>28</v>
      </c>
      <c r="Q424" s="1" t="s">
        <v>16</v>
      </c>
      <c r="R424" s="1" t="str">
        <f>IF(N424="","",VLOOKUP(N424,Prior_levels,2,TRUE))</f>
        <v>L</v>
      </c>
    </row>
    <row r="425" spans="1:18" x14ac:dyDescent="0.2">
      <c r="A425" s="1" t="s">
        <v>78</v>
      </c>
      <c r="B425" s="1" t="s">
        <v>10</v>
      </c>
      <c r="C425" s="2">
        <v>41155</v>
      </c>
      <c r="D425" s="1">
        <v>10</v>
      </c>
      <c r="E425" s="1" t="s">
        <v>42</v>
      </c>
      <c r="I425" s="1" t="s">
        <v>35</v>
      </c>
      <c r="J425" s="1" t="s">
        <v>40</v>
      </c>
      <c r="K425" s="1" t="s">
        <v>14</v>
      </c>
      <c r="L425" s="1" t="s">
        <v>35</v>
      </c>
      <c r="M425" s="1" t="s">
        <v>35</v>
      </c>
      <c r="N425" s="1">
        <v>21.12</v>
      </c>
      <c r="O425" s="1" t="s">
        <v>27</v>
      </c>
      <c r="P425" s="1" t="s">
        <v>28</v>
      </c>
      <c r="Q425" s="1" t="s">
        <v>16</v>
      </c>
      <c r="R425" s="1" t="str">
        <f>IF(N425="","",VLOOKUP(N425,Prior_levels,2,TRUE))</f>
        <v>L</v>
      </c>
    </row>
    <row r="426" spans="1:18" x14ac:dyDescent="0.2">
      <c r="A426" s="1" t="s">
        <v>78</v>
      </c>
      <c r="B426" s="1" t="s">
        <v>10</v>
      </c>
      <c r="C426" s="2">
        <v>41155</v>
      </c>
      <c r="D426" s="1">
        <v>10</v>
      </c>
      <c r="E426" s="1" t="s">
        <v>42</v>
      </c>
      <c r="I426" s="1" t="s">
        <v>35</v>
      </c>
      <c r="J426" s="1" t="s">
        <v>40</v>
      </c>
      <c r="K426" s="1" t="s">
        <v>14</v>
      </c>
      <c r="L426" s="1" t="s">
        <v>35</v>
      </c>
      <c r="M426" s="1" t="s">
        <v>35</v>
      </c>
      <c r="N426" s="1">
        <v>21.12</v>
      </c>
      <c r="O426" s="1" t="s">
        <v>29</v>
      </c>
      <c r="P426" s="1" t="s">
        <v>37</v>
      </c>
      <c r="Q426" s="1" t="s">
        <v>16</v>
      </c>
      <c r="R426" s="1" t="str">
        <f>IF(N426="","",VLOOKUP(N426,Prior_levels,2,TRUE))</f>
        <v>L</v>
      </c>
    </row>
    <row r="427" spans="1:18" x14ac:dyDescent="0.2">
      <c r="A427" s="1" t="s">
        <v>78</v>
      </c>
      <c r="B427" s="1" t="s">
        <v>10</v>
      </c>
      <c r="C427" s="2">
        <v>41155</v>
      </c>
      <c r="D427" s="1">
        <v>10</v>
      </c>
      <c r="E427" s="1" t="s">
        <v>42</v>
      </c>
      <c r="I427" s="1" t="s">
        <v>35</v>
      </c>
      <c r="J427" s="1" t="s">
        <v>40</v>
      </c>
      <c r="K427" s="1" t="s">
        <v>14</v>
      </c>
      <c r="L427" s="1" t="s">
        <v>35</v>
      </c>
      <c r="M427" s="1" t="s">
        <v>35</v>
      </c>
      <c r="N427" s="1">
        <v>21.12</v>
      </c>
      <c r="O427" s="1" t="s">
        <v>30</v>
      </c>
      <c r="P427" s="1" t="s">
        <v>28</v>
      </c>
      <c r="Q427" s="1" t="s">
        <v>16</v>
      </c>
      <c r="R427" s="1" t="str">
        <f>IF(N427="","",VLOOKUP(N427,Prior_levels,2,TRUE))</f>
        <v>L</v>
      </c>
    </row>
    <row r="428" spans="1:18" x14ac:dyDescent="0.2">
      <c r="A428" s="1" t="s">
        <v>78</v>
      </c>
      <c r="B428" s="1" t="s">
        <v>10</v>
      </c>
      <c r="C428" s="2">
        <v>41155</v>
      </c>
      <c r="D428" s="1">
        <v>10</v>
      </c>
      <c r="E428" s="1" t="s">
        <v>42</v>
      </c>
      <c r="I428" s="1" t="s">
        <v>35</v>
      </c>
      <c r="J428" s="1" t="s">
        <v>40</v>
      </c>
      <c r="K428" s="1" t="s">
        <v>14</v>
      </c>
      <c r="L428" s="1" t="s">
        <v>35</v>
      </c>
      <c r="M428" s="1" t="s">
        <v>35</v>
      </c>
      <c r="N428" s="1">
        <v>21.12</v>
      </c>
      <c r="O428" s="1" t="s">
        <v>31</v>
      </c>
      <c r="P428" s="1" t="s">
        <v>28</v>
      </c>
      <c r="Q428" s="1" t="s">
        <v>16</v>
      </c>
      <c r="R428" s="1" t="str">
        <f>IF(N428="","",VLOOKUP(N428,Prior_levels,2,TRUE))</f>
        <v>L</v>
      </c>
    </row>
    <row r="429" spans="1:18" x14ac:dyDescent="0.2">
      <c r="A429" s="1" t="s">
        <v>79</v>
      </c>
      <c r="B429" s="1" t="s">
        <v>10</v>
      </c>
      <c r="C429" s="2">
        <v>41155</v>
      </c>
      <c r="D429" s="1">
        <v>10</v>
      </c>
      <c r="E429" s="1" t="s">
        <v>34</v>
      </c>
      <c r="I429" s="1" t="s">
        <v>12</v>
      </c>
      <c r="J429" s="1" t="s">
        <v>40</v>
      </c>
      <c r="K429" s="1" t="s">
        <v>14</v>
      </c>
      <c r="L429" s="1" t="s">
        <v>12</v>
      </c>
      <c r="M429" s="1" t="s">
        <v>12</v>
      </c>
      <c r="N429" s="1">
        <v>21.12</v>
      </c>
      <c r="O429" s="1" t="s">
        <v>15</v>
      </c>
      <c r="P429" s="1">
        <v>2.5</v>
      </c>
      <c r="Q429" s="1" t="s">
        <v>16</v>
      </c>
      <c r="R429" s="1" t="str">
        <f>IF(N429="","",VLOOKUP(N429,Prior_levels,2,TRUE))</f>
        <v>L</v>
      </c>
    </row>
    <row r="430" spans="1:18" x14ac:dyDescent="0.2">
      <c r="A430" s="1" t="s">
        <v>79</v>
      </c>
      <c r="B430" s="1" t="s">
        <v>10</v>
      </c>
      <c r="C430" s="2">
        <v>41155</v>
      </c>
      <c r="D430" s="1">
        <v>10</v>
      </c>
      <c r="E430" s="1" t="s">
        <v>34</v>
      </c>
      <c r="I430" s="1" t="s">
        <v>12</v>
      </c>
      <c r="J430" s="1" t="s">
        <v>40</v>
      </c>
      <c r="K430" s="1" t="s">
        <v>14</v>
      </c>
      <c r="L430" s="1" t="s">
        <v>12</v>
      </c>
      <c r="M430" s="1" t="s">
        <v>12</v>
      </c>
      <c r="N430" s="1">
        <v>21.12</v>
      </c>
      <c r="O430" s="1" t="s">
        <v>17</v>
      </c>
      <c r="P430" s="1">
        <v>-0.33</v>
      </c>
      <c r="Q430" s="1" t="s">
        <v>16</v>
      </c>
      <c r="R430" s="1" t="str">
        <f>IF(N430="","",VLOOKUP(N430,Prior_levels,2,TRUE))</f>
        <v>L</v>
      </c>
    </row>
    <row r="431" spans="1:18" x14ac:dyDescent="0.2">
      <c r="A431" s="1" t="s">
        <v>79</v>
      </c>
      <c r="B431" s="1" t="s">
        <v>10</v>
      </c>
      <c r="C431" s="2">
        <v>41155</v>
      </c>
      <c r="D431" s="1">
        <v>10</v>
      </c>
      <c r="E431" s="1" t="s">
        <v>34</v>
      </c>
      <c r="I431" s="1" t="s">
        <v>12</v>
      </c>
      <c r="J431" s="1" t="s">
        <v>40</v>
      </c>
      <c r="K431" s="1" t="s">
        <v>14</v>
      </c>
      <c r="L431" s="1" t="s">
        <v>12</v>
      </c>
      <c r="M431" s="1" t="s">
        <v>12</v>
      </c>
      <c r="N431" s="1">
        <v>21.12</v>
      </c>
      <c r="O431" s="1" t="s">
        <v>18</v>
      </c>
      <c r="P431" s="1">
        <v>6</v>
      </c>
      <c r="Q431" s="1" t="s">
        <v>16</v>
      </c>
      <c r="R431" s="1" t="str">
        <f>IF(N431="","",VLOOKUP(N431,Prior_levels,2,TRUE))</f>
        <v>L</v>
      </c>
    </row>
    <row r="432" spans="1:18" x14ac:dyDescent="0.2">
      <c r="A432" s="1" t="s">
        <v>79</v>
      </c>
      <c r="B432" s="1" t="s">
        <v>10</v>
      </c>
      <c r="C432" s="2">
        <v>41155</v>
      </c>
      <c r="D432" s="1">
        <v>10</v>
      </c>
      <c r="E432" s="1" t="s">
        <v>34</v>
      </c>
      <c r="I432" s="1" t="s">
        <v>12</v>
      </c>
      <c r="J432" s="1" t="s">
        <v>40</v>
      </c>
      <c r="K432" s="1" t="s">
        <v>14</v>
      </c>
      <c r="L432" s="1" t="s">
        <v>12</v>
      </c>
      <c r="M432" s="1" t="s">
        <v>12</v>
      </c>
      <c r="N432" s="1">
        <v>21.12</v>
      </c>
      <c r="O432" s="1" t="s">
        <v>19</v>
      </c>
      <c r="P432" s="1">
        <v>6</v>
      </c>
      <c r="Q432" s="1" t="s">
        <v>16</v>
      </c>
      <c r="R432" s="1" t="str">
        <f>IF(N432="","",VLOOKUP(N432,Prior_levels,2,TRUE))</f>
        <v>L</v>
      </c>
    </row>
    <row r="433" spans="1:18" x14ac:dyDescent="0.2">
      <c r="A433" s="1" t="s">
        <v>79</v>
      </c>
      <c r="B433" s="1" t="s">
        <v>10</v>
      </c>
      <c r="C433" s="2">
        <v>41155</v>
      </c>
      <c r="D433" s="1">
        <v>10</v>
      </c>
      <c r="E433" s="1" t="s">
        <v>34</v>
      </c>
      <c r="I433" s="1" t="s">
        <v>12</v>
      </c>
      <c r="J433" s="1" t="s">
        <v>40</v>
      </c>
      <c r="K433" s="1" t="s">
        <v>14</v>
      </c>
      <c r="L433" s="1" t="s">
        <v>12</v>
      </c>
      <c r="M433" s="1" t="s">
        <v>12</v>
      </c>
      <c r="N433" s="1">
        <v>21.12</v>
      </c>
      <c r="O433" s="1" t="s">
        <v>20</v>
      </c>
      <c r="P433" s="1">
        <v>6</v>
      </c>
      <c r="Q433" s="1" t="s">
        <v>16</v>
      </c>
      <c r="R433" s="1" t="str">
        <f>IF(N433="","",VLOOKUP(N433,Prior_levels,2,TRUE))</f>
        <v>L</v>
      </c>
    </row>
    <row r="434" spans="1:18" x14ac:dyDescent="0.2">
      <c r="A434" s="1" t="s">
        <v>79</v>
      </c>
      <c r="B434" s="1" t="s">
        <v>10</v>
      </c>
      <c r="C434" s="2">
        <v>41155</v>
      </c>
      <c r="D434" s="1">
        <v>10</v>
      </c>
      <c r="E434" s="1" t="s">
        <v>34</v>
      </c>
      <c r="I434" s="1" t="s">
        <v>12</v>
      </c>
      <c r="J434" s="1" t="s">
        <v>40</v>
      </c>
      <c r="K434" s="1" t="s">
        <v>14</v>
      </c>
      <c r="L434" s="1" t="s">
        <v>12</v>
      </c>
      <c r="M434" s="1" t="s">
        <v>12</v>
      </c>
      <c r="N434" s="1">
        <v>21.12</v>
      </c>
      <c r="O434" s="1" t="s">
        <v>21</v>
      </c>
      <c r="P434" s="1">
        <v>7</v>
      </c>
      <c r="Q434" s="1" t="s">
        <v>16</v>
      </c>
      <c r="R434" s="1" t="str">
        <f>IF(N434="","",VLOOKUP(N434,Prior_levels,2,TRUE))</f>
        <v>L</v>
      </c>
    </row>
    <row r="435" spans="1:18" x14ac:dyDescent="0.2">
      <c r="A435" s="1" t="s">
        <v>79</v>
      </c>
      <c r="B435" s="1" t="s">
        <v>10</v>
      </c>
      <c r="C435" s="2">
        <v>41155</v>
      </c>
      <c r="D435" s="1">
        <v>10</v>
      </c>
      <c r="E435" s="1" t="s">
        <v>34</v>
      </c>
      <c r="I435" s="1" t="s">
        <v>12</v>
      </c>
      <c r="J435" s="1" t="s">
        <v>40</v>
      </c>
      <c r="K435" s="1" t="s">
        <v>14</v>
      </c>
      <c r="L435" s="1" t="s">
        <v>12</v>
      </c>
      <c r="M435" s="1" t="s">
        <v>12</v>
      </c>
      <c r="N435" s="1">
        <v>21.12</v>
      </c>
      <c r="O435" s="1" t="s">
        <v>22</v>
      </c>
      <c r="P435" s="1">
        <v>-0.66</v>
      </c>
      <c r="Q435" s="1" t="s">
        <v>16</v>
      </c>
      <c r="R435" s="1" t="str">
        <f>IF(N435="","",VLOOKUP(N435,Prior_levels,2,TRUE))</f>
        <v>L</v>
      </c>
    </row>
    <row r="436" spans="1:18" x14ac:dyDescent="0.2">
      <c r="A436" s="1" t="s">
        <v>79</v>
      </c>
      <c r="B436" s="1" t="s">
        <v>10</v>
      </c>
      <c r="C436" s="2">
        <v>41155</v>
      </c>
      <c r="D436" s="1">
        <v>10</v>
      </c>
      <c r="E436" s="1" t="s">
        <v>34</v>
      </c>
      <c r="I436" s="1" t="s">
        <v>12</v>
      </c>
      <c r="J436" s="1" t="s">
        <v>40</v>
      </c>
      <c r="K436" s="1" t="s">
        <v>14</v>
      </c>
      <c r="L436" s="1" t="s">
        <v>12</v>
      </c>
      <c r="M436" s="1" t="s">
        <v>12</v>
      </c>
      <c r="N436" s="1">
        <v>21.12</v>
      </c>
      <c r="O436" s="1" t="s">
        <v>23</v>
      </c>
      <c r="P436" s="1">
        <v>0.39</v>
      </c>
      <c r="Q436" s="1" t="s">
        <v>16</v>
      </c>
      <c r="R436" s="1" t="str">
        <f>IF(N436="","",VLOOKUP(N436,Prior_levels,2,TRUE))</f>
        <v>L</v>
      </c>
    </row>
    <row r="437" spans="1:18" x14ac:dyDescent="0.2">
      <c r="A437" s="1" t="s">
        <v>79</v>
      </c>
      <c r="B437" s="1" t="s">
        <v>10</v>
      </c>
      <c r="C437" s="2">
        <v>41155</v>
      </c>
      <c r="D437" s="1">
        <v>10</v>
      </c>
      <c r="E437" s="1" t="s">
        <v>34</v>
      </c>
      <c r="I437" s="1" t="s">
        <v>12</v>
      </c>
      <c r="J437" s="1" t="s">
        <v>40</v>
      </c>
      <c r="K437" s="1" t="s">
        <v>14</v>
      </c>
      <c r="L437" s="1" t="s">
        <v>12</v>
      </c>
      <c r="M437" s="1" t="s">
        <v>12</v>
      </c>
      <c r="N437" s="1">
        <v>21.12</v>
      </c>
      <c r="O437" s="1" t="s">
        <v>25</v>
      </c>
      <c r="P437" s="1">
        <v>-4.2</v>
      </c>
      <c r="Q437" s="1" t="s">
        <v>16</v>
      </c>
      <c r="R437" s="1" t="str">
        <f>IF(N437="","",VLOOKUP(N437,Prior_levels,2,TRUE))</f>
        <v>L</v>
      </c>
    </row>
    <row r="438" spans="1:18" x14ac:dyDescent="0.2">
      <c r="A438" s="1" t="s">
        <v>79</v>
      </c>
      <c r="B438" s="1" t="s">
        <v>10</v>
      </c>
      <c r="C438" s="2">
        <v>41155</v>
      </c>
      <c r="D438" s="1">
        <v>10</v>
      </c>
      <c r="E438" s="1" t="s">
        <v>34</v>
      </c>
      <c r="I438" s="1" t="s">
        <v>12</v>
      </c>
      <c r="J438" s="1" t="s">
        <v>40</v>
      </c>
      <c r="K438" s="1" t="s">
        <v>14</v>
      </c>
      <c r="L438" s="1" t="s">
        <v>12</v>
      </c>
      <c r="M438" s="1" t="s">
        <v>12</v>
      </c>
      <c r="N438" s="1">
        <v>21.12</v>
      </c>
      <c r="O438" s="1" t="s">
        <v>26</v>
      </c>
      <c r="P438" s="1">
        <v>0</v>
      </c>
      <c r="Q438" s="1" t="s">
        <v>16</v>
      </c>
      <c r="R438" s="1" t="str">
        <f>IF(N438="","",VLOOKUP(N438,Prior_levels,2,TRUE))</f>
        <v>L</v>
      </c>
    </row>
    <row r="439" spans="1:18" x14ac:dyDescent="0.2">
      <c r="A439" s="1" t="s">
        <v>79</v>
      </c>
      <c r="B439" s="1" t="s">
        <v>10</v>
      </c>
      <c r="C439" s="2">
        <v>41155</v>
      </c>
      <c r="D439" s="1">
        <v>10</v>
      </c>
      <c r="E439" s="1" t="s">
        <v>34</v>
      </c>
      <c r="I439" s="1" t="s">
        <v>12</v>
      </c>
      <c r="J439" s="1" t="s">
        <v>40</v>
      </c>
      <c r="K439" s="1" t="s">
        <v>14</v>
      </c>
      <c r="L439" s="1" t="s">
        <v>12</v>
      </c>
      <c r="M439" s="1" t="s">
        <v>12</v>
      </c>
      <c r="N439" s="1">
        <v>21.12</v>
      </c>
      <c r="O439" s="1" t="s">
        <v>24</v>
      </c>
      <c r="P439" s="1">
        <v>1.49</v>
      </c>
      <c r="Q439" s="1" t="s">
        <v>16</v>
      </c>
      <c r="R439" s="1" t="str">
        <f>IF(N439="","",VLOOKUP(N439,Prior_levels,2,TRUE))</f>
        <v>L</v>
      </c>
    </row>
    <row r="440" spans="1:18" x14ac:dyDescent="0.2">
      <c r="A440" s="1" t="s">
        <v>79</v>
      </c>
      <c r="B440" s="1" t="s">
        <v>10</v>
      </c>
      <c r="C440" s="2">
        <v>41155</v>
      </c>
      <c r="D440" s="1">
        <v>10</v>
      </c>
      <c r="E440" s="1" t="s">
        <v>34</v>
      </c>
      <c r="I440" s="1" t="s">
        <v>12</v>
      </c>
      <c r="J440" s="1" t="s">
        <v>40</v>
      </c>
      <c r="K440" s="1" t="s">
        <v>14</v>
      </c>
      <c r="L440" s="1" t="s">
        <v>12</v>
      </c>
      <c r="M440" s="1" t="s">
        <v>12</v>
      </c>
      <c r="N440" s="1">
        <v>21.12</v>
      </c>
      <c r="O440" s="1" t="s">
        <v>32</v>
      </c>
      <c r="P440" s="1" t="s">
        <v>28</v>
      </c>
      <c r="Q440" s="1" t="s">
        <v>16</v>
      </c>
      <c r="R440" s="1" t="str">
        <f>IF(N440="","",VLOOKUP(N440,Prior_levels,2,TRUE))</f>
        <v>L</v>
      </c>
    </row>
    <row r="441" spans="1:18" x14ac:dyDescent="0.2">
      <c r="A441" s="1" t="s">
        <v>79</v>
      </c>
      <c r="B441" s="1" t="s">
        <v>10</v>
      </c>
      <c r="C441" s="2">
        <v>41155</v>
      </c>
      <c r="D441" s="1">
        <v>10</v>
      </c>
      <c r="E441" s="1" t="s">
        <v>34</v>
      </c>
      <c r="I441" s="1" t="s">
        <v>12</v>
      </c>
      <c r="J441" s="1" t="s">
        <v>40</v>
      </c>
      <c r="K441" s="1" t="s">
        <v>14</v>
      </c>
      <c r="L441" s="1" t="s">
        <v>12</v>
      </c>
      <c r="M441" s="1" t="s">
        <v>12</v>
      </c>
      <c r="N441" s="1">
        <v>21.12</v>
      </c>
      <c r="O441" s="1" t="s">
        <v>27</v>
      </c>
      <c r="P441" s="1" t="s">
        <v>28</v>
      </c>
      <c r="Q441" s="1" t="s">
        <v>16</v>
      </c>
      <c r="R441" s="1" t="str">
        <f>IF(N441="","",VLOOKUP(N441,Prior_levels,2,TRUE))</f>
        <v>L</v>
      </c>
    </row>
    <row r="442" spans="1:18" x14ac:dyDescent="0.2">
      <c r="A442" s="1" t="s">
        <v>79</v>
      </c>
      <c r="B442" s="1" t="s">
        <v>10</v>
      </c>
      <c r="C442" s="2">
        <v>41155</v>
      </c>
      <c r="D442" s="1">
        <v>10</v>
      </c>
      <c r="E442" s="1" t="s">
        <v>34</v>
      </c>
      <c r="I442" s="1" t="s">
        <v>12</v>
      </c>
      <c r="J442" s="1" t="s">
        <v>40</v>
      </c>
      <c r="K442" s="1" t="s">
        <v>14</v>
      </c>
      <c r="L442" s="1" t="s">
        <v>12</v>
      </c>
      <c r="M442" s="1" t="s">
        <v>12</v>
      </c>
      <c r="N442" s="1">
        <v>21.12</v>
      </c>
      <c r="O442" s="1" t="s">
        <v>29</v>
      </c>
      <c r="P442" s="1" t="s">
        <v>28</v>
      </c>
      <c r="Q442" s="1" t="s">
        <v>16</v>
      </c>
      <c r="R442" s="1" t="str">
        <f>IF(N442="","",VLOOKUP(N442,Prior_levels,2,TRUE))</f>
        <v>L</v>
      </c>
    </row>
    <row r="443" spans="1:18" x14ac:dyDescent="0.2">
      <c r="A443" s="1" t="s">
        <v>79</v>
      </c>
      <c r="B443" s="1" t="s">
        <v>10</v>
      </c>
      <c r="C443" s="2">
        <v>41155</v>
      </c>
      <c r="D443" s="1">
        <v>10</v>
      </c>
      <c r="E443" s="1" t="s">
        <v>34</v>
      </c>
      <c r="I443" s="1" t="s">
        <v>12</v>
      </c>
      <c r="J443" s="1" t="s">
        <v>40</v>
      </c>
      <c r="K443" s="1" t="s">
        <v>14</v>
      </c>
      <c r="L443" s="1" t="s">
        <v>12</v>
      </c>
      <c r="M443" s="1" t="s">
        <v>12</v>
      </c>
      <c r="N443" s="1">
        <v>21.12</v>
      </c>
      <c r="O443" s="1" t="s">
        <v>30</v>
      </c>
      <c r="P443" s="1" t="s">
        <v>28</v>
      </c>
      <c r="Q443" s="1" t="s">
        <v>16</v>
      </c>
      <c r="R443" s="1" t="str">
        <f>IF(N443="","",VLOOKUP(N443,Prior_levels,2,TRUE))</f>
        <v>L</v>
      </c>
    </row>
    <row r="444" spans="1:18" x14ac:dyDescent="0.2">
      <c r="A444" s="1" t="s">
        <v>79</v>
      </c>
      <c r="B444" s="1" t="s">
        <v>10</v>
      </c>
      <c r="C444" s="2">
        <v>41155</v>
      </c>
      <c r="D444" s="1">
        <v>10</v>
      </c>
      <c r="E444" s="1" t="s">
        <v>34</v>
      </c>
      <c r="I444" s="1" t="s">
        <v>12</v>
      </c>
      <c r="J444" s="1" t="s">
        <v>40</v>
      </c>
      <c r="K444" s="1" t="s">
        <v>14</v>
      </c>
      <c r="L444" s="1" t="s">
        <v>12</v>
      </c>
      <c r="M444" s="1" t="s">
        <v>12</v>
      </c>
      <c r="N444" s="1">
        <v>21.12</v>
      </c>
      <c r="O444" s="1" t="s">
        <v>31</v>
      </c>
      <c r="P444" s="1" t="s">
        <v>28</v>
      </c>
      <c r="Q444" s="1" t="s">
        <v>16</v>
      </c>
      <c r="R444" s="1" t="str">
        <f>IF(N444="","",VLOOKUP(N444,Prior_levels,2,TRUE))</f>
        <v>L</v>
      </c>
    </row>
    <row r="445" spans="1:18" x14ac:dyDescent="0.2">
      <c r="A445" s="1" t="s">
        <v>80</v>
      </c>
      <c r="B445" s="1" t="s">
        <v>12</v>
      </c>
      <c r="C445" s="2">
        <v>41155</v>
      </c>
      <c r="D445" s="1">
        <v>10</v>
      </c>
      <c r="E445" s="1" t="s">
        <v>11</v>
      </c>
      <c r="I445" s="1" t="s">
        <v>12</v>
      </c>
      <c r="J445" s="1" t="s">
        <v>40</v>
      </c>
      <c r="K445" s="1" t="s">
        <v>14</v>
      </c>
      <c r="L445" s="1" t="s">
        <v>12</v>
      </c>
      <c r="M445" s="1" t="s">
        <v>12</v>
      </c>
      <c r="N445" s="1">
        <v>21.12</v>
      </c>
      <c r="O445" s="1" t="s">
        <v>15</v>
      </c>
      <c r="P445" s="1">
        <v>3.5</v>
      </c>
      <c r="Q445" s="1" t="s">
        <v>16</v>
      </c>
      <c r="R445" s="1" t="str">
        <f>IF(N445="","",VLOOKUP(N445,Prior_levels,2,TRUE))</f>
        <v>L</v>
      </c>
    </row>
    <row r="446" spans="1:18" x14ac:dyDescent="0.2">
      <c r="A446" s="1" t="s">
        <v>80</v>
      </c>
      <c r="B446" s="1" t="s">
        <v>12</v>
      </c>
      <c r="C446" s="2">
        <v>41155</v>
      </c>
      <c r="D446" s="1">
        <v>10</v>
      </c>
      <c r="E446" s="1" t="s">
        <v>11</v>
      </c>
      <c r="I446" s="1" t="s">
        <v>12</v>
      </c>
      <c r="J446" s="1" t="s">
        <v>40</v>
      </c>
      <c r="K446" s="1" t="s">
        <v>14</v>
      </c>
      <c r="L446" s="1" t="s">
        <v>12</v>
      </c>
      <c r="M446" s="1" t="s">
        <v>12</v>
      </c>
      <c r="N446" s="1">
        <v>21.12</v>
      </c>
      <c r="O446" s="1" t="s">
        <v>17</v>
      </c>
      <c r="P446" s="1">
        <v>0.67</v>
      </c>
      <c r="Q446" s="1" t="s">
        <v>16</v>
      </c>
      <c r="R446" s="1" t="str">
        <f>IF(N446="","",VLOOKUP(N446,Prior_levels,2,TRUE))</f>
        <v>L</v>
      </c>
    </row>
    <row r="447" spans="1:18" x14ac:dyDescent="0.2">
      <c r="A447" s="1" t="s">
        <v>80</v>
      </c>
      <c r="B447" s="1" t="s">
        <v>12</v>
      </c>
      <c r="C447" s="2">
        <v>41155</v>
      </c>
      <c r="D447" s="1">
        <v>10</v>
      </c>
      <c r="E447" s="1" t="s">
        <v>11</v>
      </c>
      <c r="I447" s="1" t="s">
        <v>12</v>
      </c>
      <c r="J447" s="1" t="s">
        <v>40</v>
      </c>
      <c r="K447" s="1" t="s">
        <v>14</v>
      </c>
      <c r="L447" s="1" t="s">
        <v>12</v>
      </c>
      <c r="M447" s="1" t="s">
        <v>12</v>
      </c>
      <c r="N447" s="1">
        <v>21.12</v>
      </c>
      <c r="O447" s="1" t="s">
        <v>18</v>
      </c>
      <c r="P447" s="1">
        <v>8</v>
      </c>
      <c r="Q447" s="1" t="s">
        <v>16</v>
      </c>
      <c r="R447" s="1" t="str">
        <f>IF(N447="","",VLOOKUP(N447,Prior_levels,2,TRUE))</f>
        <v>L</v>
      </c>
    </row>
    <row r="448" spans="1:18" x14ac:dyDescent="0.2">
      <c r="A448" s="1" t="s">
        <v>80</v>
      </c>
      <c r="B448" s="1" t="s">
        <v>12</v>
      </c>
      <c r="C448" s="2">
        <v>41155</v>
      </c>
      <c r="D448" s="1">
        <v>10</v>
      </c>
      <c r="E448" s="1" t="s">
        <v>11</v>
      </c>
      <c r="I448" s="1" t="s">
        <v>12</v>
      </c>
      <c r="J448" s="1" t="s">
        <v>40</v>
      </c>
      <c r="K448" s="1" t="s">
        <v>14</v>
      </c>
      <c r="L448" s="1" t="s">
        <v>12</v>
      </c>
      <c r="M448" s="1" t="s">
        <v>12</v>
      </c>
      <c r="N448" s="1">
        <v>21.12</v>
      </c>
      <c r="O448" s="1" t="s">
        <v>19</v>
      </c>
      <c r="P448" s="1">
        <v>8</v>
      </c>
      <c r="Q448" s="1" t="s">
        <v>16</v>
      </c>
      <c r="R448" s="1" t="str">
        <f>IF(N448="","",VLOOKUP(N448,Prior_levels,2,TRUE))</f>
        <v>L</v>
      </c>
    </row>
    <row r="449" spans="1:18" x14ac:dyDescent="0.2">
      <c r="A449" s="1" t="s">
        <v>80</v>
      </c>
      <c r="B449" s="1" t="s">
        <v>12</v>
      </c>
      <c r="C449" s="2">
        <v>41155</v>
      </c>
      <c r="D449" s="1">
        <v>10</v>
      </c>
      <c r="E449" s="1" t="s">
        <v>11</v>
      </c>
      <c r="I449" s="1" t="s">
        <v>12</v>
      </c>
      <c r="J449" s="1" t="s">
        <v>40</v>
      </c>
      <c r="K449" s="1" t="s">
        <v>14</v>
      </c>
      <c r="L449" s="1" t="s">
        <v>12</v>
      </c>
      <c r="M449" s="1" t="s">
        <v>12</v>
      </c>
      <c r="N449" s="1">
        <v>21.12</v>
      </c>
      <c r="O449" s="1" t="s">
        <v>20</v>
      </c>
      <c r="P449" s="1">
        <v>9</v>
      </c>
      <c r="Q449" s="1" t="s">
        <v>16</v>
      </c>
      <c r="R449" s="1" t="str">
        <f>IF(N449="","",VLOOKUP(N449,Prior_levels,2,TRUE))</f>
        <v>L</v>
      </c>
    </row>
    <row r="450" spans="1:18" x14ac:dyDescent="0.2">
      <c r="A450" s="1" t="s">
        <v>80</v>
      </c>
      <c r="B450" s="1" t="s">
        <v>12</v>
      </c>
      <c r="C450" s="2">
        <v>41155</v>
      </c>
      <c r="D450" s="1">
        <v>10</v>
      </c>
      <c r="E450" s="1" t="s">
        <v>11</v>
      </c>
      <c r="I450" s="1" t="s">
        <v>12</v>
      </c>
      <c r="J450" s="1" t="s">
        <v>40</v>
      </c>
      <c r="K450" s="1" t="s">
        <v>14</v>
      </c>
      <c r="L450" s="1" t="s">
        <v>12</v>
      </c>
      <c r="M450" s="1" t="s">
        <v>12</v>
      </c>
      <c r="N450" s="1">
        <v>21.12</v>
      </c>
      <c r="O450" s="1" t="s">
        <v>21</v>
      </c>
      <c r="P450" s="1">
        <v>10</v>
      </c>
      <c r="Q450" s="1" t="s">
        <v>16</v>
      </c>
      <c r="R450" s="1" t="str">
        <f>IF(N450="","",VLOOKUP(N450,Prior_levels,2,TRUE))</f>
        <v>L</v>
      </c>
    </row>
    <row r="451" spans="1:18" x14ac:dyDescent="0.2">
      <c r="A451" s="1" t="s">
        <v>80</v>
      </c>
      <c r="B451" s="1" t="s">
        <v>12</v>
      </c>
      <c r="C451" s="2">
        <v>41155</v>
      </c>
      <c r="D451" s="1">
        <v>10</v>
      </c>
      <c r="E451" s="1" t="s">
        <v>11</v>
      </c>
      <c r="I451" s="1" t="s">
        <v>12</v>
      </c>
      <c r="J451" s="1" t="s">
        <v>40</v>
      </c>
      <c r="K451" s="1" t="s">
        <v>14</v>
      </c>
      <c r="L451" s="1" t="s">
        <v>12</v>
      </c>
      <c r="M451" s="1" t="s">
        <v>12</v>
      </c>
      <c r="N451" s="1">
        <v>21.12</v>
      </c>
      <c r="O451" s="1" t="s">
        <v>22</v>
      </c>
      <c r="P451" s="1">
        <v>0.34</v>
      </c>
      <c r="Q451" s="1" t="s">
        <v>16</v>
      </c>
      <c r="R451" s="1" t="str">
        <f>IF(N451="","",VLOOKUP(N451,Prior_levels,2,TRUE))</f>
        <v>L</v>
      </c>
    </row>
    <row r="452" spans="1:18" x14ac:dyDescent="0.2">
      <c r="A452" s="1" t="s">
        <v>80</v>
      </c>
      <c r="B452" s="1" t="s">
        <v>12</v>
      </c>
      <c r="C452" s="2">
        <v>41155</v>
      </c>
      <c r="D452" s="1">
        <v>10</v>
      </c>
      <c r="E452" s="1" t="s">
        <v>11</v>
      </c>
      <c r="I452" s="1" t="s">
        <v>12</v>
      </c>
      <c r="J452" s="1" t="s">
        <v>40</v>
      </c>
      <c r="K452" s="1" t="s">
        <v>14</v>
      </c>
      <c r="L452" s="1" t="s">
        <v>12</v>
      </c>
      <c r="M452" s="1" t="s">
        <v>12</v>
      </c>
      <c r="N452" s="1">
        <v>21.12</v>
      </c>
      <c r="O452" s="1" t="s">
        <v>23</v>
      </c>
      <c r="P452" s="1">
        <v>1.39</v>
      </c>
      <c r="Q452" s="1" t="s">
        <v>16</v>
      </c>
      <c r="R452" s="1" t="str">
        <f>IF(N452="","",VLOOKUP(N452,Prior_levels,2,TRUE))</f>
        <v>L</v>
      </c>
    </row>
    <row r="453" spans="1:18" x14ac:dyDescent="0.2">
      <c r="A453" s="1" t="s">
        <v>80</v>
      </c>
      <c r="B453" s="1" t="s">
        <v>12</v>
      </c>
      <c r="C453" s="2">
        <v>41155</v>
      </c>
      <c r="D453" s="1">
        <v>10</v>
      </c>
      <c r="E453" s="1" t="s">
        <v>11</v>
      </c>
      <c r="I453" s="1" t="s">
        <v>12</v>
      </c>
      <c r="J453" s="1" t="s">
        <v>40</v>
      </c>
      <c r="K453" s="1" t="s">
        <v>14</v>
      </c>
      <c r="L453" s="1" t="s">
        <v>12</v>
      </c>
      <c r="M453" s="1" t="s">
        <v>12</v>
      </c>
      <c r="N453" s="1">
        <v>21.12</v>
      </c>
      <c r="O453" s="1" t="s">
        <v>24</v>
      </c>
      <c r="P453" s="1">
        <v>4.49</v>
      </c>
      <c r="Q453" s="1" t="s">
        <v>16</v>
      </c>
      <c r="R453" s="1" t="str">
        <f>IF(N453="","",VLOOKUP(N453,Prior_levels,2,TRUE))</f>
        <v>L</v>
      </c>
    </row>
    <row r="454" spans="1:18" x14ac:dyDescent="0.2">
      <c r="A454" s="1" t="s">
        <v>80</v>
      </c>
      <c r="B454" s="1" t="s">
        <v>12</v>
      </c>
      <c r="C454" s="2">
        <v>41155</v>
      </c>
      <c r="D454" s="1">
        <v>10</v>
      </c>
      <c r="E454" s="1" t="s">
        <v>11</v>
      </c>
      <c r="I454" s="1" t="s">
        <v>12</v>
      </c>
      <c r="J454" s="1" t="s">
        <v>40</v>
      </c>
      <c r="K454" s="1" t="s">
        <v>14</v>
      </c>
      <c r="L454" s="1" t="s">
        <v>12</v>
      </c>
      <c r="M454" s="1" t="s">
        <v>12</v>
      </c>
      <c r="N454" s="1">
        <v>21.12</v>
      </c>
      <c r="O454" s="1" t="s">
        <v>25</v>
      </c>
      <c r="P454" s="1">
        <v>-1.2</v>
      </c>
      <c r="Q454" s="1" t="s">
        <v>16</v>
      </c>
      <c r="R454" s="1" t="str">
        <f>IF(N454="","",VLOOKUP(N454,Prior_levels,2,TRUE))</f>
        <v>L</v>
      </c>
    </row>
    <row r="455" spans="1:18" x14ac:dyDescent="0.2">
      <c r="A455" s="1" t="s">
        <v>80</v>
      </c>
      <c r="B455" s="1" t="s">
        <v>12</v>
      </c>
      <c r="C455" s="2">
        <v>41155</v>
      </c>
      <c r="D455" s="1">
        <v>10</v>
      </c>
      <c r="E455" s="1" t="s">
        <v>11</v>
      </c>
      <c r="I455" s="1" t="s">
        <v>12</v>
      </c>
      <c r="J455" s="1" t="s">
        <v>40</v>
      </c>
      <c r="K455" s="1" t="s">
        <v>14</v>
      </c>
      <c r="L455" s="1" t="s">
        <v>12</v>
      </c>
      <c r="M455" s="1" t="s">
        <v>12</v>
      </c>
      <c r="N455" s="1">
        <v>21.12</v>
      </c>
      <c r="O455" s="1" t="s">
        <v>26</v>
      </c>
      <c r="P455" s="1">
        <v>0</v>
      </c>
      <c r="Q455" s="1" t="s">
        <v>16</v>
      </c>
      <c r="R455" s="1" t="str">
        <f>IF(N455="","",VLOOKUP(N455,Prior_levels,2,TRUE))</f>
        <v>L</v>
      </c>
    </row>
    <row r="456" spans="1:18" x14ac:dyDescent="0.2">
      <c r="A456" s="1" t="s">
        <v>80</v>
      </c>
      <c r="B456" s="1" t="s">
        <v>12</v>
      </c>
      <c r="C456" s="2">
        <v>41155</v>
      </c>
      <c r="D456" s="1">
        <v>10</v>
      </c>
      <c r="E456" s="1" t="s">
        <v>11</v>
      </c>
      <c r="I456" s="1" t="s">
        <v>12</v>
      </c>
      <c r="J456" s="1" t="s">
        <v>40</v>
      </c>
      <c r="K456" s="1" t="s">
        <v>14</v>
      </c>
      <c r="L456" s="1" t="s">
        <v>12</v>
      </c>
      <c r="M456" s="1" t="s">
        <v>12</v>
      </c>
      <c r="N456" s="1">
        <v>21.12</v>
      </c>
      <c r="O456" s="1" t="s">
        <v>27</v>
      </c>
      <c r="P456" s="1" t="s">
        <v>28</v>
      </c>
      <c r="Q456" s="1" t="s">
        <v>16</v>
      </c>
      <c r="R456" s="1" t="str">
        <f>IF(N456="","",VLOOKUP(N456,Prior_levels,2,TRUE))</f>
        <v>L</v>
      </c>
    </row>
    <row r="457" spans="1:18" x14ac:dyDescent="0.2">
      <c r="A457" s="1" t="s">
        <v>80</v>
      </c>
      <c r="B457" s="1" t="s">
        <v>12</v>
      </c>
      <c r="C457" s="2">
        <v>41155</v>
      </c>
      <c r="D457" s="1">
        <v>10</v>
      </c>
      <c r="E457" s="1" t="s">
        <v>11</v>
      </c>
      <c r="I457" s="1" t="s">
        <v>12</v>
      </c>
      <c r="J457" s="1" t="s">
        <v>40</v>
      </c>
      <c r="K457" s="1" t="s">
        <v>14</v>
      </c>
      <c r="L457" s="1" t="s">
        <v>12</v>
      </c>
      <c r="M457" s="1" t="s">
        <v>12</v>
      </c>
      <c r="N457" s="1">
        <v>21.12</v>
      </c>
      <c r="O457" s="1" t="s">
        <v>29</v>
      </c>
      <c r="P457" s="1" t="s">
        <v>28</v>
      </c>
      <c r="Q457" s="1" t="s">
        <v>16</v>
      </c>
      <c r="R457" s="1" t="str">
        <f>IF(N457="","",VLOOKUP(N457,Prior_levels,2,TRUE))</f>
        <v>L</v>
      </c>
    </row>
    <row r="458" spans="1:18" x14ac:dyDescent="0.2">
      <c r="A458" s="1" t="s">
        <v>80</v>
      </c>
      <c r="B458" s="1" t="s">
        <v>12</v>
      </c>
      <c r="C458" s="2">
        <v>41155</v>
      </c>
      <c r="D458" s="1">
        <v>10</v>
      </c>
      <c r="E458" s="1" t="s">
        <v>11</v>
      </c>
      <c r="I458" s="1" t="s">
        <v>12</v>
      </c>
      <c r="J458" s="1" t="s">
        <v>40</v>
      </c>
      <c r="K458" s="1" t="s">
        <v>14</v>
      </c>
      <c r="L458" s="1" t="s">
        <v>12</v>
      </c>
      <c r="M458" s="1" t="s">
        <v>12</v>
      </c>
      <c r="N458" s="1">
        <v>21.12</v>
      </c>
      <c r="O458" s="1" t="s">
        <v>30</v>
      </c>
      <c r="P458" s="1" t="s">
        <v>28</v>
      </c>
      <c r="Q458" s="1" t="s">
        <v>16</v>
      </c>
      <c r="R458" s="1" t="str">
        <f>IF(N458="","",VLOOKUP(N458,Prior_levels,2,TRUE))</f>
        <v>L</v>
      </c>
    </row>
    <row r="459" spans="1:18" x14ac:dyDescent="0.2">
      <c r="A459" s="1" t="s">
        <v>80</v>
      </c>
      <c r="B459" s="1" t="s">
        <v>12</v>
      </c>
      <c r="C459" s="2">
        <v>41155</v>
      </c>
      <c r="D459" s="1">
        <v>10</v>
      </c>
      <c r="E459" s="1" t="s">
        <v>11</v>
      </c>
      <c r="I459" s="1" t="s">
        <v>12</v>
      </c>
      <c r="J459" s="1" t="s">
        <v>40</v>
      </c>
      <c r="K459" s="1" t="s">
        <v>14</v>
      </c>
      <c r="L459" s="1" t="s">
        <v>12</v>
      </c>
      <c r="M459" s="1" t="s">
        <v>12</v>
      </c>
      <c r="N459" s="1">
        <v>21.12</v>
      </c>
      <c r="O459" s="1" t="s">
        <v>31</v>
      </c>
      <c r="P459" s="1" t="s">
        <v>28</v>
      </c>
      <c r="Q459" s="1" t="s">
        <v>16</v>
      </c>
      <c r="R459" s="1" t="str">
        <f>IF(N459="","",VLOOKUP(N459,Prior_levels,2,TRUE))</f>
        <v>L</v>
      </c>
    </row>
    <row r="460" spans="1:18" x14ac:dyDescent="0.2">
      <c r="A460" s="1" t="s">
        <v>80</v>
      </c>
      <c r="B460" s="1" t="s">
        <v>12</v>
      </c>
      <c r="C460" s="2">
        <v>41155</v>
      </c>
      <c r="D460" s="1">
        <v>10</v>
      </c>
      <c r="E460" s="1" t="s">
        <v>11</v>
      </c>
      <c r="I460" s="1" t="s">
        <v>12</v>
      </c>
      <c r="J460" s="1" t="s">
        <v>40</v>
      </c>
      <c r="K460" s="1" t="s">
        <v>14</v>
      </c>
      <c r="L460" s="1" t="s">
        <v>12</v>
      </c>
      <c r="M460" s="1" t="s">
        <v>12</v>
      </c>
      <c r="N460" s="1">
        <v>21.12</v>
      </c>
      <c r="O460" s="1" t="s">
        <v>32</v>
      </c>
      <c r="P460" s="1" t="s">
        <v>28</v>
      </c>
      <c r="Q460" s="1" t="s">
        <v>16</v>
      </c>
      <c r="R460" s="1" t="str">
        <f>IF(N460="","",VLOOKUP(N460,Prior_levels,2,TRUE))</f>
        <v>L</v>
      </c>
    </row>
    <row r="461" spans="1:18" x14ac:dyDescent="0.2">
      <c r="A461" s="1" t="s">
        <v>81</v>
      </c>
      <c r="B461" s="1" t="s">
        <v>12</v>
      </c>
      <c r="C461" s="2">
        <v>41155</v>
      </c>
      <c r="D461" s="1">
        <v>10</v>
      </c>
      <c r="E461" s="1" t="s">
        <v>11</v>
      </c>
      <c r="I461" s="1" t="s">
        <v>12</v>
      </c>
      <c r="J461" s="1" t="s">
        <v>74</v>
      </c>
      <c r="K461" s="1" t="s">
        <v>14</v>
      </c>
      <c r="L461" s="1" t="s">
        <v>12</v>
      </c>
      <c r="M461" s="1" t="s">
        <v>12</v>
      </c>
      <c r="N461" s="1">
        <v>27.12</v>
      </c>
      <c r="O461" s="1" t="s">
        <v>15</v>
      </c>
      <c r="P461" s="1">
        <v>4.25</v>
      </c>
      <c r="Q461" s="1" t="s">
        <v>16</v>
      </c>
      <c r="R461" s="1" t="str">
        <f>IF(N461="","",VLOOKUP(N461,Prior_levels,2,TRUE))</f>
        <v>M</v>
      </c>
    </row>
    <row r="462" spans="1:18" x14ac:dyDescent="0.2">
      <c r="A462" s="1" t="s">
        <v>81</v>
      </c>
      <c r="B462" s="1" t="s">
        <v>12</v>
      </c>
      <c r="C462" s="2">
        <v>41155</v>
      </c>
      <c r="D462" s="1">
        <v>10</v>
      </c>
      <c r="E462" s="1" t="s">
        <v>11</v>
      </c>
      <c r="I462" s="1" t="s">
        <v>12</v>
      </c>
      <c r="J462" s="1" t="s">
        <v>74</v>
      </c>
      <c r="K462" s="1" t="s">
        <v>14</v>
      </c>
      <c r="L462" s="1" t="s">
        <v>12</v>
      </c>
      <c r="M462" s="1" t="s">
        <v>12</v>
      </c>
      <c r="N462" s="1">
        <v>27.12</v>
      </c>
      <c r="O462" s="1" t="s">
        <v>17</v>
      </c>
      <c r="P462" s="1">
        <v>-0.3</v>
      </c>
      <c r="Q462" s="1" t="s">
        <v>16</v>
      </c>
      <c r="R462" s="1" t="str">
        <f>IF(N462="","",VLOOKUP(N462,Prior_levels,2,TRUE))</f>
        <v>M</v>
      </c>
    </row>
    <row r="463" spans="1:18" x14ac:dyDescent="0.2">
      <c r="A463" s="1" t="s">
        <v>81</v>
      </c>
      <c r="B463" s="1" t="s">
        <v>12</v>
      </c>
      <c r="C463" s="2">
        <v>41155</v>
      </c>
      <c r="D463" s="1">
        <v>10</v>
      </c>
      <c r="E463" s="1" t="s">
        <v>11</v>
      </c>
      <c r="I463" s="1" t="s">
        <v>12</v>
      </c>
      <c r="J463" s="1" t="s">
        <v>74</v>
      </c>
      <c r="K463" s="1" t="s">
        <v>14</v>
      </c>
      <c r="L463" s="1" t="s">
        <v>12</v>
      </c>
      <c r="M463" s="1" t="s">
        <v>12</v>
      </c>
      <c r="N463" s="1">
        <v>27.12</v>
      </c>
      <c r="O463" s="1" t="s">
        <v>18</v>
      </c>
      <c r="P463" s="1">
        <v>8</v>
      </c>
      <c r="Q463" s="1" t="s">
        <v>16</v>
      </c>
      <c r="R463" s="1" t="str">
        <f>IF(N463="","",VLOOKUP(N463,Prior_levels,2,TRUE))</f>
        <v>M</v>
      </c>
    </row>
    <row r="464" spans="1:18" x14ac:dyDescent="0.2">
      <c r="A464" s="1" t="s">
        <v>81</v>
      </c>
      <c r="B464" s="1" t="s">
        <v>12</v>
      </c>
      <c r="C464" s="2">
        <v>41155</v>
      </c>
      <c r="D464" s="1">
        <v>10</v>
      </c>
      <c r="E464" s="1" t="s">
        <v>11</v>
      </c>
      <c r="I464" s="1" t="s">
        <v>12</v>
      </c>
      <c r="J464" s="1" t="s">
        <v>74</v>
      </c>
      <c r="K464" s="1" t="s">
        <v>14</v>
      </c>
      <c r="L464" s="1" t="s">
        <v>12</v>
      </c>
      <c r="M464" s="1" t="s">
        <v>12</v>
      </c>
      <c r="N464" s="1">
        <v>27.12</v>
      </c>
      <c r="O464" s="1" t="s">
        <v>19</v>
      </c>
      <c r="P464" s="1">
        <v>10</v>
      </c>
      <c r="Q464" s="1" t="s">
        <v>16</v>
      </c>
      <c r="R464" s="1" t="str">
        <f>IF(N464="","",VLOOKUP(N464,Prior_levels,2,TRUE))</f>
        <v>M</v>
      </c>
    </row>
    <row r="465" spans="1:18" x14ac:dyDescent="0.2">
      <c r="A465" s="1" t="s">
        <v>81</v>
      </c>
      <c r="B465" s="1" t="s">
        <v>12</v>
      </c>
      <c r="C465" s="2">
        <v>41155</v>
      </c>
      <c r="D465" s="1">
        <v>10</v>
      </c>
      <c r="E465" s="1" t="s">
        <v>11</v>
      </c>
      <c r="I465" s="1" t="s">
        <v>12</v>
      </c>
      <c r="J465" s="1" t="s">
        <v>74</v>
      </c>
      <c r="K465" s="1" t="s">
        <v>14</v>
      </c>
      <c r="L465" s="1" t="s">
        <v>12</v>
      </c>
      <c r="M465" s="1" t="s">
        <v>12</v>
      </c>
      <c r="N465" s="1">
        <v>27.12</v>
      </c>
      <c r="O465" s="1" t="s">
        <v>20</v>
      </c>
      <c r="P465" s="1">
        <v>11</v>
      </c>
      <c r="Q465" s="1" t="s">
        <v>16</v>
      </c>
      <c r="R465" s="1" t="str">
        <f>IF(N465="","",VLOOKUP(N465,Prior_levels,2,TRUE))</f>
        <v>M</v>
      </c>
    </row>
    <row r="466" spans="1:18" x14ac:dyDescent="0.2">
      <c r="A466" s="1" t="s">
        <v>81</v>
      </c>
      <c r="B466" s="1" t="s">
        <v>12</v>
      </c>
      <c r="C466" s="2">
        <v>41155</v>
      </c>
      <c r="D466" s="1">
        <v>10</v>
      </c>
      <c r="E466" s="1" t="s">
        <v>11</v>
      </c>
      <c r="I466" s="1" t="s">
        <v>12</v>
      </c>
      <c r="J466" s="1" t="s">
        <v>74</v>
      </c>
      <c r="K466" s="1" t="s">
        <v>14</v>
      </c>
      <c r="L466" s="1" t="s">
        <v>12</v>
      </c>
      <c r="M466" s="1" t="s">
        <v>12</v>
      </c>
      <c r="N466" s="1">
        <v>27.12</v>
      </c>
      <c r="O466" s="1" t="s">
        <v>21</v>
      </c>
      <c r="P466" s="1">
        <v>13.5</v>
      </c>
      <c r="Q466" s="1" t="s">
        <v>16</v>
      </c>
      <c r="R466" s="1" t="str">
        <f>IF(N466="","",VLOOKUP(N466,Prior_levels,2,TRUE))</f>
        <v>M</v>
      </c>
    </row>
    <row r="467" spans="1:18" x14ac:dyDescent="0.2">
      <c r="A467" s="1" t="s">
        <v>81</v>
      </c>
      <c r="B467" s="1" t="s">
        <v>12</v>
      </c>
      <c r="C467" s="2">
        <v>41155</v>
      </c>
      <c r="D467" s="1">
        <v>10</v>
      </c>
      <c r="E467" s="1" t="s">
        <v>11</v>
      </c>
      <c r="I467" s="1" t="s">
        <v>12</v>
      </c>
      <c r="J467" s="1" t="s">
        <v>74</v>
      </c>
      <c r="K467" s="1" t="s">
        <v>14</v>
      </c>
      <c r="L467" s="1" t="s">
        <v>12</v>
      </c>
      <c r="M467" s="1" t="s">
        <v>12</v>
      </c>
      <c r="N467" s="1">
        <v>27.12</v>
      </c>
      <c r="O467" s="1" t="s">
        <v>22</v>
      </c>
      <c r="P467" s="1">
        <v>-1.05</v>
      </c>
      <c r="Q467" s="1" t="s">
        <v>16</v>
      </c>
      <c r="R467" s="1" t="str">
        <f>IF(N467="","",VLOOKUP(N467,Prior_levels,2,TRUE))</f>
        <v>M</v>
      </c>
    </row>
    <row r="468" spans="1:18" x14ac:dyDescent="0.2">
      <c r="A468" s="1" t="s">
        <v>81</v>
      </c>
      <c r="B468" s="1" t="s">
        <v>12</v>
      </c>
      <c r="C468" s="2">
        <v>41155</v>
      </c>
      <c r="D468" s="1">
        <v>10</v>
      </c>
      <c r="E468" s="1" t="s">
        <v>11</v>
      </c>
      <c r="I468" s="1" t="s">
        <v>12</v>
      </c>
      <c r="J468" s="1" t="s">
        <v>74</v>
      </c>
      <c r="K468" s="1" t="s">
        <v>14</v>
      </c>
      <c r="L468" s="1" t="s">
        <v>12</v>
      </c>
      <c r="M468" s="1" t="s">
        <v>12</v>
      </c>
      <c r="N468" s="1">
        <v>27.12</v>
      </c>
      <c r="O468" s="1" t="s">
        <v>23</v>
      </c>
      <c r="P468" s="1">
        <v>0.36</v>
      </c>
      <c r="Q468" s="1" t="s">
        <v>16</v>
      </c>
      <c r="R468" s="1" t="str">
        <f>IF(N468="","",VLOOKUP(N468,Prior_levels,2,TRUE))</f>
        <v>M</v>
      </c>
    </row>
    <row r="469" spans="1:18" x14ac:dyDescent="0.2">
      <c r="A469" s="1" t="s">
        <v>81</v>
      </c>
      <c r="B469" s="1" t="s">
        <v>12</v>
      </c>
      <c r="C469" s="2">
        <v>41155</v>
      </c>
      <c r="D469" s="1">
        <v>10</v>
      </c>
      <c r="E469" s="1" t="s">
        <v>11</v>
      </c>
      <c r="I469" s="1" t="s">
        <v>12</v>
      </c>
      <c r="J469" s="1" t="s">
        <v>74</v>
      </c>
      <c r="K469" s="1" t="s">
        <v>14</v>
      </c>
      <c r="L469" s="1" t="s">
        <v>12</v>
      </c>
      <c r="M469" s="1" t="s">
        <v>12</v>
      </c>
      <c r="N469" s="1">
        <v>27.12</v>
      </c>
      <c r="O469" s="1" t="s">
        <v>24</v>
      </c>
      <c r="P469" s="1">
        <v>-0.25</v>
      </c>
      <c r="Q469" s="1" t="s">
        <v>16</v>
      </c>
      <c r="R469" s="1" t="str">
        <f>IF(N469="","",VLOOKUP(N469,Prior_levels,2,TRUE))</f>
        <v>M</v>
      </c>
    </row>
    <row r="470" spans="1:18" x14ac:dyDescent="0.2">
      <c r="A470" s="1" t="s">
        <v>81</v>
      </c>
      <c r="B470" s="1" t="s">
        <v>12</v>
      </c>
      <c r="C470" s="2">
        <v>41155</v>
      </c>
      <c r="D470" s="1">
        <v>10</v>
      </c>
      <c r="E470" s="1" t="s">
        <v>11</v>
      </c>
      <c r="I470" s="1" t="s">
        <v>12</v>
      </c>
      <c r="J470" s="1" t="s">
        <v>74</v>
      </c>
      <c r="K470" s="1" t="s">
        <v>14</v>
      </c>
      <c r="L470" s="1" t="s">
        <v>12</v>
      </c>
      <c r="M470" s="1" t="s">
        <v>12</v>
      </c>
      <c r="N470" s="1">
        <v>27.12</v>
      </c>
      <c r="O470" s="1" t="s">
        <v>25</v>
      </c>
      <c r="P470" s="1">
        <v>-1.39</v>
      </c>
      <c r="Q470" s="1" t="s">
        <v>16</v>
      </c>
      <c r="R470" s="1" t="str">
        <f>IF(N470="","",VLOOKUP(N470,Prior_levels,2,TRUE))</f>
        <v>M</v>
      </c>
    </row>
    <row r="471" spans="1:18" x14ac:dyDescent="0.2">
      <c r="A471" s="1" t="s">
        <v>81</v>
      </c>
      <c r="B471" s="1" t="s">
        <v>12</v>
      </c>
      <c r="C471" s="2">
        <v>41155</v>
      </c>
      <c r="D471" s="1">
        <v>10</v>
      </c>
      <c r="E471" s="1" t="s">
        <v>11</v>
      </c>
      <c r="I471" s="1" t="s">
        <v>12</v>
      </c>
      <c r="J471" s="1" t="s">
        <v>74</v>
      </c>
      <c r="K471" s="1" t="s">
        <v>14</v>
      </c>
      <c r="L471" s="1" t="s">
        <v>12</v>
      </c>
      <c r="M471" s="1" t="s">
        <v>12</v>
      </c>
      <c r="N471" s="1">
        <v>27.12</v>
      </c>
      <c r="O471" s="1" t="s">
        <v>26</v>
      </c>
      <c r="P471" s="1">
        <v>5</v>
      </c>
      <c r="Q471" s="1" t="s">
        <v>16</v>
      </c>
      <c r="R471" s="1" t="str">
        <f>IF(N471="","",VLOOKUP(N471,Prior_levels,2,TRUE))</f>
        <v>M</v>
      </c>
    </row>
    <row r="472" spans="1:18" x14ac:dyDescent="0.2">
      <c r="A472" s="1" t="s">
        <v>81</v>
      </c>
      <c r="B472" s="1" t="s">
        <v>12</v>
      </c>
      <c r="C472" s="2">
        <v>41155</v>
      </c>
      <c r="D472" s="1">
        <v>10</v>
      </c>
      <c r="E472" s="1" t="s">
        <v>11</v>
      </c>
      <c r="I472" s="1" t="s">
        <v>12</v>
      </c>
      <c r="J472" s="1" t="s">
        <v>74</v>
      </c>
      <c r="K472" s="1" t="s">
        <v>14</v>
      </c>
      <c r="L472" s="1" t="s">
        <v>12</v>
      </c>
      <c r="M472" s="1" t="s">
        <v>12</v>
      </c>
      <c r="N472" s="1">
        <v>27.12</v>
      </c>
      <c r="O472" s="1" t="s">
        <v>32</v>
      </c>
      <c r="P472" s="1" t="s">
        <v>28</v>
      </c>
      <c r="Q472" s="1" t="s">
        <v>16</v>
      </c>
      <c r="R472" s="1" t="str">
        <f>IF(N472="","",VLOOKUP(N472,Prior_levels,2,TRUE))</f>
        <v>M</v>
      </c>
    </row>
    <row r="473" spans="1:18" x14ac:dyDescent="0.2">
      <c r="A473" s="1" t="s">
        <v>81</v>
      </c>
      <c r="B473" s="1" t="s">
        <v>12</v>
      </c>
      <c r="C473" s="2">
        <v>41155</v>
      </c>
      <c r="D473" s="1">
        <v>10</v>
      </c>
      <c r="E473" s="1" t="s">
        <v>11</v>
      </c>
      <c r="I473" s="1" t="s">
        <v>12</v>
      </c>
      <c r="J473" s="1" t="s">
        <v>74</v>
      </c>
      <c r="K473" s="1" t="s">
        <v>14</v>
      </c>
      <c r="L473" s="1" t="s">
        <v>12</v>
      </c>
      <c r="M473" s="1" t="s">
        <v>12</v>
      </c>
      <c r="N473" s="1">
        <v>27.12</v>
      </c>
      <c r="O473" s="1" t="s">
        <v>27</v>
      </c>
      <c r="P473" s="1" t="s">
        <v>37</v>
      </c>
      <c r="Q473" s="1" t="s">
        <v>16</v>
      </c>
      <c r="R473" s="1" t="str">
        <f>IF(N473="","",VLOOKUP(N473,Prior_levels,2,TRUE))</f>
        <v>M</v>
      </c>
    </row>
    <row r="474" spans="1:18" x14ac:dyDescent="0.2">
      <c r="A474" s="1" t="s">
        <v>81</v>
      </c>
      <c r="B474" s="1" t="s">
        <v>12</v>
      </c>
      <c r="C474" s="2">
        <v>41155</v>
      </c>
      <c r="D474" s="1">
        <v>10</v>
      </c>
      <c r="E474" s="1" t="s">
        <v>11</v>
      </c>
      <c r="I474" s="1" t="s">
        <v>12</v>
      </c>
      <c r="J474" s="1" t="s">
        <v>74</v>
      </c>
      <c r="K474" s="1" t="s">
        <v>14</v>
      </c>
      <c r="L474" s="1" t="s">
        <v>12</v>
      </c>
      <c r="M474" s="1" t="s">
        <v>12</v>
      </c>
      <c r="N474" s="1">
        <v>27.12</v>
      </c>
      <c r="O474" s="1" t="s">
        <v>29</v>
      </c>
      <c r="P474" s="1" t="s">
        <v>28</v>
      </c>
      <c r="Q474" s="1" t="s">
        <v>16</v>
      </c>
      <c r="R474" s="1" t="str">
        <f>IF(N474="","",VLOOKUP(N474,Prior_levels,2,TRUE))</f>
        <v>M</v>
      </c>
    </row>
    <row r="475" spans="1:18" x14ac:dyDescent="0.2">
      <c r="A475" s="1" t="s">
        <v>81</v>
      </c>
      <c r="B475" s="1" t="s">
        <v>12</v>
      </c>
      <c r="C475" s="2">
        <v>41155</v>
      </c>
      <c r="D475" s="1">
        <v>10</v>
      </c>
      <c r="E475" s="1" t="s">
        <v>11</v>
      </c>
      <c r="I475" s="1" t="s">
        <v>12</v>
      </c>
      <c r="J475" s="1" t="s">
        <v>74</v>
      </c>
      <c r="K475" s="1" t="s">
        <v>14</v>
      </c>
      <c r="L475" s="1" t="s">
        <v>12</v>
      </c>
      <c r="M475" s="1" t="s">
        <v>12</v>
      </c>
      <c r="N475" s="1">
        <v>27.12</v>
      </c>
      <c r="O475" s="1" t="s">
        <v>30</v>
      </c>
      <c r="P475" s="1" t="s">
        <v>28</v>
      </c>
      <c r="Q475" s="1" t="s">
        <v>16</v>
      </c>
      <c r="R475" s="1" t="str">
        <f>IF(N475="","",VLOOKUP(N475,Prior_levels,2,TRUE))</f>
        <v>M</v>
      </c>
    </row>
    <row r="476" spans="1:18" x14ac:dyDescent="0.2">
      <c r="A476" s="1" t="s">
        <v>81</v>
      </c>
      <c r="B476" s="1" t="s">
        <v>12</v>
      </c>
      <c r="C476" s="2">
        <v>41155</v>
      </c>
      <c r="D476" s="1">
        <v>10</v>
      </c>
      <c r="E476" s="1" t="s">
        <v>11</v>
      </c>
      <c r="I476" s="1" t="s">
        <v>12</v>
      </c>
      <c r="J476" s="1" t="s">
        <v>74</v>
      </c>
      <c r="K476" s="1" t="s">
        <v>14</v>
      </c>
      <c r="L476" s="1" t="s">
        <v>12</v>
      </c>
      <c r="M476" s="1" t="s">
        <v>12</v>
      </c>
      <c r="N476" s="1">
        <v>27.12</v>
      </c>
      <c r="O476" s="1" t="s">
        <v>31</v>
      </c>
      <c r="P476" s="1" t="s">
        <v>28</v>
      </c>
      <c r="Q476" s="1" t="s">
        <v>16</v>
      </c>
      <c r="R476" s="1" t="str">
        <f>IF(N476="","",VLOOKUP(N476,Prior_levels,2,TRUE))</f>
        <v>M</v>
      </c>
    </row>
    <row r="477" spans="1:18" x14ac:dyDescent="0.2">
      <c r="A477" s="1" t="s">
        <v>82</v>
      </c>
      <c r="B477" s="1" t="s">
        <v>12</v>
      </c>
      <c r="C477" s="2">
        <v>41155</v>
      </c>
      <c r="D477" s="1">
        <v>10</v>
      </c>
      <c r="E477" s="1" t="s">
        <v>39</v>
      </c>
      <c r="I477" s="1" t="s">
        <v>12</v>
      </c>
      <c r="J477" s="1" t="s">
        <v>13</v>
      </c>
      <c r="K477" s="1" t="s">
        <v>14</v>
      </c>
      <c r="L477" s="1" t="s">
        <v>12</v>
      </c>
      <c r="M477" s="1" t="s">
        <v>12</v>
      </c>
      <c r="N477" s="1">
        <v>27.12</v>
      </c>
      <c r="O477" s="1" t="s">
        <v>15</v>
      </c>
      <c r="P477" s="1">
        <v>4.5</v>
      </c>
      <c r="Q477" s="1" t="s">
        <v>16</v>
      </c>
      <c r="R477" s="1" t="str">
        <f>IF(N477="","",VLOOKUP(N477,Prior_levels,2,TRUE))</f>
        <v>M</v>
      </c>
    </row>
    <row r="478" spans="1:18" x14ac:dyDescent="0.2">
      <c r="A478" s="1" t="s">
        <v>82</v>
      </c>
      <c r="B478" s="1" t="s">
        <v>12</v>
      </c>
      <c r="C478" s="2">
        <v>41155</v>
      </c>
      <c r="D478" s="1">
        <v>10</v>
      </c>
      <c r="E478" s="1" t="s">
        <v>39</v>
      </c>
      <c r="I478" s="1" t="s">
        <v>12</v>
      </c>
      <c r="J478" s="1" t="s">
        <v>13</v>
      </c>
      <c r="K478" s="1" t="s">
        <v>14</v>
      </c>
      <c r="L478" s="1" t="s">
        <v>12</v>
      </c>
      <c r="M478" s="1" t="s">
        <v>12</v>
      </c>
      <c r="N478" s="1">
        <v>27.12</v>
      </c>
      <c r="O478" s="1" t="s">
        <v>17</v>
      </c>
      <c r="P478" s="1">
        <v>-0.05</v>
      </c>
      <c r="Q478" s="1" t="s">
        <v>16</v>
      </c>
      <c r="R478" s="1" t="str">
        <f>IF(N478="","",VLOOKUP(N478,Prior_levels,2,TRUE))</f>
        <v>M</v>
      </c>
    </row>
    <row r="479" spans="1:18" x14ac:dyDescent="0.2">
      <c r="A479" s="1" t="s">
        <v>82</v>
      </c>
      <c r="B479" s="1" t="s">
        <v>12</v>
      </c>
      <c r="C479" s="2">
        <v>41155</v>
      </c>
      <c r="D479" s="1">
        <v>10</v>
      </c>
      <c r="E479" s="1" t="s">
        <v>39</v>
      </c>
      <c r="I479" s="1" t="s">
        <v>12</v>
      </c>
      <c r="J479" s="1" t="s">
        <v>13</v>
      </c>
      <c r="K479" s="1" t="s">
        <v>14</v>
      </c>
      <c r="L479" s="1" t="s">
        <v>12</v>
      </c>
      <c r="M479" s="1" t="s">
        <v>12</v>
      </c>
      <c r="N479" s="1">
        <v>27.12</v>
      </c>
      <c r="O479" s="1" t="s">
        <v>18</v>
      </c>
      <c r="P479" s="1">
        <v>10</v>
      </c>
      <c r="Q479" s="1" t="s">
        <v>16</v>
      </c>
      <c r="R479" s="1" t="str">
        <f>IF(N479="","",VLOOKUP(N479,Prior_levels,2,TRUE))</f>
        <v>M</v>
      </c>
    </row>
    <row r="480" spans="1:18" x14ac:dyDescent="0.2">
      <c r="A480" s="1" t="s">
        <v>82</v>
      </c>
      <c r="B480" s="1" t="s">
        <v>12</v>
      </c>
      <c r="C480" s="2">
        <v>41155</v>
      </c>
      <c r="D480" s="1">
        <v>10</v>
      </c>
      <c r="E480" s="1" t="s">
        <v>39</v>
      </c>
      <c r="I480" s="1" t="s">
        <v>12</v>
      </c>
      <c r="J480" s="1" t="s">
        <v>13</v>
      </c>
      <c r="K480" s="1" t="s">
        <v>14</v>
      </c>
      <c r="L480" s="1" t="s">
        <v>12</v>
      </c>
      <c r="M480" s="1" t="s">
        <v>12</v>
      </c>
      <c r="N480" s="1">
        <v>27.12</v>
      </c>
      <c r="O480" s="1" t="s">
        <v>19</v>
      </c>
      <c r="P480" s="1">
        <v>10</v>
      </c>
      <c r="Q480" s="1" t="s">
        <v>16</v>
      </c>
      <c r="R480" s="1" t="str">
        <f>IF(N480="","",VLOOKUP(N480,Prior_levels,2,TRUE))</f>
        <v>M</v>
      </c>
    </row>
    <row r="481" spans="1:18" x14ac:dyDescent="0.2">
      <c r="A481" s="1" t="s">
        <v>82</v>
      </c>
      <c r="B481" s="1" t="s">
        <v>12</v>
      </c>
      <c r="C481" s="2">
        <v>41155</v>
      </c>
      <c r="D481" s="1">
        <v>10</v>
      </c>
      <c r="E481" s="1" t="s">
        <v>39</v>
      </c>
      <c r="I481" s="1" t="s">
        <v>12</v>
      </c>
      <c r="J481" s="1" t="s">
        <v>13</v>
      </c>
      <c r="K481" s="1" t="s">
        <v>14</v>
      </c>
      <c r="L481" s="1" t="s">
        <v>12</v>
      </c>
      <c r="M481" s="1" t="s">
        <v>12</v>
      </c>
      <c r="N481" s="1">
        <v>27.12</v>
      </c>
      <c r="O481" s="1" t="s">
        <v>20</v>
      </c>
      <c r="P481" s="1">
        <v>12</v>
      </c>
      <c r="Q481" s="1" t="s">
        <v>16</v>
      </c>
      <c r="R481" s="1" t="str">
        <f>IF(N481="","",VLOOKUP(N481,Prior_levels,2,TRUE))</f>
        <v>M</v>
      </c>
    </row>
    <row r="482" spans="1:18" x14ac:dyDescent="0.2">
      <c r="A482" s="1" t="s">
        <v>82</v>
      </c>
      <c r="B482" s="1" t="s">
        <v>12</v>
      </c>
      <c r="C482" s="2">
        <v>41155</v>
      </c>
      <c r="D482" s="1">
        <v>10</v>
      </c>
      <c r="E482" s="1" t="s">
        <v>39</v>
      </c>
      <c r="I482" s="1" t="s">
        <v>12</v>
      </c>
      <c r="J482" s="1" t="s">
        <v>13</v>
      </c>
      <c r="K482" s="1" t="s">
        <v>14</v>
      </c>
      <c r="L482" s="1" t="s">
        <v>12</v>
      </c>
      <c r="M482" s="1" t="s">
        <v>12</v>
      </c>
      <c r="N482" s="1">
        <v>27.12</v>
      </c>
      <c r="O482" s="1" t="s">
        <v>21</v>
      </c>
      <c r="P482" s="1">
        <v>13</v>
      </c>
      <c r="Q482" s="1" t="s">
        <v>16</v>
      </c>
      <c r="R482" s="1" t="str">
        <f>IF(N482="","",VLOOKUP(N482,Prior_levels,2,TRUE))</f>
        <v>M</v>
      </c>
    </row>
    <row r="483" spans="1:18" x14ac:dyDescent="0.2">
      <c r="A483" s="1" t="s">
        <v>82</v>
      </c>
      <c r="B483" s="1" t="s">
        <v>12</v>
      </c>
      <c r="C483" s="2">
        <v>41155</v>
      </c>
      <c r="D483" s="1">
        <v>10</v>
      </c>
      <c r="E483" s="1" t="s">
        <v>39</v>
      </c>
      <c r="I483" s="1" t="s">
        <v>12</v>
      </c>
      <c r="J483" s="1" t="s">
        <v>13</v>
      </c>
      <c r="K483" s="1" t="s">
        <v>14</v>
      </c>
      <c r="L483" s="1" t="s">
        <v>12</v>
      </c>
      <c r="M483" s="1" t="s">
        <v>12</v>
      </c>
      <c r="N483" s="1">
        <v>27.12</v>
      </c>
      <c r="O483" s="1" t="s">
        <v>22</v>
      </c>
      <c r="P483" s="1">
        <v>-0.05</v>
      </c>
      <c r="Q483" s="1" t="s">
        <v>16</v>
      </c>
      <c r="R483" s="1" t="str">
        <f>IF(N483="","",VLOOKUP(N483,Prior_levels,2,TRUE))</f>
        <v>M</v>
      </c>
    </row>
    <row r="484" spans="1:18" x14ac:dyDescent="0.2">
      <c r="A484" s="1" t="s">
        <v>82</v>
      </c>
      <c r="B484" s="1" t="s">
        <v>12</v>
      </c>
      <c r="C484" s="2">
        <v>41155</v>
      </c>
      <c r="D484" s="1">
        <v>10</v>
      </c>
      <c r="E484" s="1" t="s">
        <v>39</v>
      </c>
      <c r="I484" s="1" t="s">
        <v>12</v>
      </c>
      <c r="J484" s="1" t="s">
        <v>13</v>
      </c>
      <c r="K484" s="1" t="s">
        <v>14</v>
      </c>
      <c r="L484" s="1" t="s">
        <v>12</v>
      </c>
      <c r="M484" s="1" t="s">
        <v>12</v>
      </c>
      <c r="N484" s="1">
        <v>27.12</v>
      </c>
      <c r="O484" s="1" t="s">
        <v>23</v>
      </c>
      <c r="P484" s="1">
        <v>0.36</v>
      </c>
      <c r="Q484" s="1" t="s">
        <v>16</v>
      </c>
      <c r="R484" s="1" t="str">
        <f>IF(N484="","",VLOOKUP(N484,Prior_levels,2,TRUE))</f>
        <v>M</v>
      </c>
    </row>
    <row r="485" spans="1:18" x14ac:dyDescent="0.2">
      <c r="A485" s="1" t="s">
        <v>82</v>
      </c>
      <c r="B485" s="1" t="s">
        <v>12</v>
      </c>
      <c r="C485" s="2">
        <v>41155</v>
      </c>
      <c r="D485" s="1">
        <v>10</v>
      </c>
      <c r="E485" s="1" t="s">
        <v>39</v>
      </c>
      <c r="I485" s="1" t="s">
        <v>12</v>
      </c>
      <c r="J485" s="1" t="s">
        <v>13</v>
      </c>
      <c r="K485" s="1" t="s">
        <v>14</v>
      </c>
      <c r="L485" s="1" t="s">
        <v>12</v>
      </c>
      <c r="M485" s="1" t="s">
        <v>12</v>
      </c>
      <c r="N485" s="1">
        <v>27.12</v>
      </c>
      <c r="O485" s="1" t="s">
        <v>24</v>
      </c>
      <c r="P485" s="1">
        <v>0.75</v>
      </c>
      <c r="Q485" s="1" t="s">
        <v>16</v>
      </c>
      <c r="R485" s="1" t="str">
        <f>IF(N485="","",VLOOKUP(N485,Prior_levels,2,TRUE))</f>
        <v>M</v>
      </c>
    </row>
    <row r="486" spans="1:18" x14ac:dyDescent="0.2">
      <c r="A486" s="1" t="s">
        <v>82</v>
      </c>
      <c r="B486" s="1" t="s">
        <v>12</v>
      </c>
      <c r="C486" s="2">
        <v>41155</v>
      </c>
      <c r="D486" s="1">
        <v>10</v>
      </c>
      <c r="E486" s="1" t="s">
        <v>39</v>
      </c>
      <c r="I486" s="1" t="s">
        <v>12</v>
      </c>
      <c r="J486" s="1" t="s">
        <v>13</v>
      </c>
      <c r="K486" s="1" t="s">
        <v>14</v>
      </c>
      <c r="L486" s="1" t="s">
        <v>12</v>
      </c>
      <c r="M486" s="1" t="s">
        <v>12</v>
      </c>
      <c r="N486" s="1">
        <v>27.12</v>
      </c>
      <c r="O486" s="1" t="s">
        <v>25</v>
      </c>
      <c r="P486" s="1">
        <v>-1.89</v>
      </c>
      <c r="Q486" s="1" t="s">
        <v>16</v>
      </c>
      <c r="R486" s="1" t="str">
        <f>IF(N486="","",VLOOKUP(N486,Prior_levels,2,TRUE))</f>
        <v>M</v>
      </c>
    </row>
    <row r="487" spans="1:18" x14ac:dyDescent="0.2">
      <c r="A487" s="1" t="s">
        <v>82</v>
      </c>
      <c r="B487" s="1" t="s">
        <v>12</v>
      </c>
      <c r="C487" s="2">
        <v>41155</v>
      </c>
      <c r="D487" s="1">
        <v>10</v>
      </c>
      <c r="E487" s="1" t="s">
        <v>39</v>
      </c>
      <c r="I487" s="1" t="s">
        <v>12</v>
      </c>
      <c r="J487" s="1" t="s">
        <v>13</v>
      </c>
      <c r="K487" s="1" t="s">
        <v>14</v>
      </c>
      <c r="L487" s="1" t="s">
        <v>12</v>
      </c>
      <c r="M487" s="1" t="s">
        <v>12</v>
      </c>
      <c r="N487" s="1">
        <v>27.12</v>
      </c>
      <c r="O487" s="1" t="s">
        <v>26</v>
      </c>
      <c r="P487" s="1">
        <v>11</v>
      </c>
      <c r="Q487" s="1" t="s">
        <v>16</v>
      </c>
      <c r="R487" s="1" t="str">
        <f>IF(N487="","",VLOOKUP(N487,Prior_levels,2,TRUE))</f>
        <v>M</v>
      </c>
    </row>
    <row r="488" spans="1:18" x14ac:dyDescent="0.2">
      <c r="A488" s="1" t="s">
        <v>82</v>
      </c>
      <c r="B488" s="1" t="s">
        <v>12</v>
      </c>
      <c r="C488" s="2">
        <v>41155</v>
      </c>
      <c r="D488" s="1">
        <v>10</v>
      </c>
      <c r="E488" s="1" t="s">
        <v>39</v>
      </c>
      <c r="I488" s="1" t="s">
        <v>12</v>
      </c>
      <c r="J488" s="1" t="s">
        <v>13</v>
      </c>
      <c r="K488" s="1" t="s">
        <v>14</v>
      </c>
      <c r="L488" s="1" t="s">
        <v>12</v>
      </c>
      <c r="M488" s="1" t="s">
        <v>12</v>
      </c>
      <c r="N488" s="1">
        <v>27.12</v>
      </c>
      <c r="O488" s="1" t="s">
        <v>32</v>
      </c>
      <c r="P488" s="1" t="s">
        <v>37</v>
      </c>
      <c r="Q488" s="1" t="s">
        <v>16</v>
      </c>
      <c r="R488" s="1" t="str">
        <f>IF(N488="","",VLOOKUP(N488,Prior_levels,2,TRUE))</f>
        <v>M</v>
      </c>
    </row>
    <row r="489" spans="1:18" x14ac:dyDescent="0.2">
      <c r="A489" s="1" t="s">
        <v>82</v>
      </c>
      <c r="B489" s="1" t="s">
        <v>12</v>
      </c>
      <c r="C489" s="2">
        <v>41155</v>
      </c>
      <c r="D489" s="1">
        <v>10</v>
      </c>
      <c r="E489" s="1" t="s">
        <v>39</v>
      </c>
      <c r="I489" s="1" t="s">
        <v>12</v>
      </c>
      <c r="J489" s="1" t="s">
        <v>13</v>
      </c>
      <c r="K489" s="1" t="s">
        <v>14</v>
      </c>
      <c r="L489" s="1" t="s">
        <v>12</v>
      </c>
      <c r="M489" s="1" t="s">
        <v>12</v>
      </c>
      <c r="N489" s="1">
        <v>27.12</v>
      </c>
      <c r="O489" s="1" t="s">
        <v>27</v>
      </c>
      <c r="P489" s="1" t="s">
        <v>37</v>
      </c>
      <c r="Q489" s="1" t="s">
        <v>16</v>
      </c>
      <c r="R489" s="1" t="str">
        <f>IF(N489="","",VLOOKUP(N489,Prior_levels,2,TRUE))</f>
        <v>M</v>
      </c>
    </row>
    <row r="490" spans="1:18" x14ac:dyDescent="0.2">
      <c r="A490" s="1" t="s">
        <v>82</v>
      </c>
      <c r="B490" s="1" t="s">
        <v>12</v>
      </c>
      <c r="C490" s="2">
        <v>41155</v>
      </c>
      <c r="D490" s="1">
        <v>10</v>
      </c>
      <c r="E490" s="1" t="s">
        <v>39</v>
      </c>
      <c r="I490" s="1" t="s">
        <v>12</v>
      </c>
      <c r="J490" s="1" t="s">
        <v>13</v>
      </c>
      <c r="K490" s="1" t="s">
        <v>14</v>
      </c>
      <c r="L490" s="1" t="s">
        <v>12</v>
      </c>
      <c r="M490" s="1" t="s">
        <v>12</v>
      </c>
      <c r="N490" s="1">
        <v>27.12</v>
      </c>
      <c r="O490" s="1" t="s">
        <v>29</v>
      </c>
      <c r="P490" s="1" t="s">
        <v>37</v>
      </c>
      <c r="Q490" s="1" t="s">
        <v>16</v>
      </c>
      <c r="R490" s="1" t="str">
        <f>IF(N490="","",VLOOKUP(N490,Prior_levels,2,TRUE))</f>
        <v>M</v>
      </c>
    </row>
    <row r="491" spans="1:18" x14ac:dyDescent="0.2">
      <c r="A491" s="1" t="s">
        <v>82</v>
      </c>
      <c r="B491" s="1" t="s">
        <v>12</v>
      </c>
      <c r="C491" s="2">
        <v>41155</v>
      </c>
      <c r="D491" s="1">
        <v>10</v>
      </c>
      <c r="E491" s="1" t="s">
        <v>39</v>
      </c>
      <c r="I491" s="1" t="s">
        <v>12</v>
      </c>
      <c r="J491" s="1" t="s">
        <v>13</v>
      </c>
      <c r="K491" s="1" t="s">
        <v>14</v>
      </c>
      <c r="L491" s="1" t="s">
        <v>12</v>
      </c>
      <c r="M491" s="1" t="s">
        <v>12</v>
      </c>
      <c r="N491" s="1">
        <v>27.12</v>
      </c>
      <c r="O491" s="1" t="s">
        <v>30</v>
      </c>
      <c r="P491" s="1" t="s">
        <v>37</v>
      </c>
      <c r="Q491" s="1" t="s">
        <v>16</v>
      </c>
      <c r="R491" s="1" t="str">
        <f>IF(N491="","",VLOOKUP(N491,Prior_levels,2,TRUE))</f>
        <v>M</v>
      </c>
    </row>
    <row r="492" spans="1:18" x14ac:dyDescent="0.2">
      <c r="A492" s="1" t="s">
        <v>82</v>
      </c>
      <c r="B492" s="1" t="s">
        <v>12</v>
      </c>
      <c r="C492" s="2">
        <v>41155</v>
      </c>
      <c r="D492" s="1">
        <v>10</v>
      </c>
      <c r="E492" s="1" t="s">
        <v>39</v>
      </c>
      <c r="I492" s="1" t="s">
        <v>12</v>
      </c>
      <c r="J492" s="1" t="s">
        <v>13</v>
      </c>
      <c r="K492" s="1" t="s">
        <v>14</v>
      </c>
      <c r="L492" s="1" t="s">
        <v>12</v>
      </c>
      <c r="M492" s="1" t="s">
        <v>12</v>
      </c>
      <c r="N492" s="1">
        <v>27.12</v>
      </c>
      <c r="O492" s="1" t="s">
        <v>31</v>
      </c>
      <c r="P492" s="1" t="s">
        <v>37</v>
      </c>
      <c r="Q492" s="1" t="s">
        <v>16</v>
      </c>
      <c r="R492" s="1" t="str">
        <f>IF(N492="","",VLOOKUP(N492,Prior_levels,2,TRUE))</f>
        <v>M</v>
      </c>
    </row>
    <row r="493" spans="1:18" x14ac:dyDescent="0.2">
      <c r="A493" s="1" t="s">
        <v>83</v>
      </c>
      <c r="B493" s="1" t="s">
        <v>12</v>
      </c>
      <c r="C493" s="2">
        <v>41155</v>
      </c>
      <c r="D493" s="1">
        <v>10</v>
      </c>
      <c r="E493" s="1" t="s">
        <v>34</v>
      </c>
      <c r="I493" s="1" t="s">
        <v>12</v>
      </c>
      <c r="J493" s="1" t="s">
        <v>40</v>
      </c>
      <c r="K493" s="1" t="s">
        <v>14</v>
      </c>
      <c r="L493" s="1" t="s">
        <v>12</v>
      </c>
      <c r="M493" s="1" t="s">
        <v>12</v>
      </c>
      <c r="N493" s="1">
        <v>33.18</v>
      </c>
      <c r="O493" s="1" t="s">
        <v>15</v>
      </c>
      <c r="P493" s="1">
        <v>6.4</v>
      </c>
      <c r="Q493" s="1" t="s">
        <v>16</v>
      </c>
      <c r="R493" s="1" t="str">
        <f>IF(N493="","",VLOOKUP(N493,Prior_levels,2,TRUE))</f>
        <v>H</v>
      </c>
    </row>
    <row r="494" spans="1:18" x14ac:dyDescent="0.2">
      <c r="A494" s="1" t="s">
        <v>83</v>
      </c>
      <c r="B494" s="1" t="s">
        <v>12</v>
      </c>
      <c r="C494" s="2">
        <v>41155</v>
      </c>
      <c r="D494" s="1">
        <v>10</v>
      </c>
      <c r="E494" s="1" t="s">
        <v>34</v>
      </c>
      <c r="I494" s="1" t="s">
        <v>12</v>
      </c>
      <c r="J494" s="1" t="s">
        <v>40</v>
      </c>
      <c r="K494" s="1" t="s">
        <v>14</v>
      </c>
      <c r="L494" s="1" t="s">
        <v>12</v>
      </c>
      <c r="M494" s="1" t="s">
        <v>12</v>
      </c>
      <c r="N494" s="1">
        <v>33.18</v>
      </c>
      <c r="O494" s="1" t="s">
        <v>17</v>
      </c>
      <c r="P494" s="1">
        <v>-0.15</v>
      </c>
      <c r="Q494" s="1" t="s">
        <v>16</v>
      </c>
      <c r="R494" s="1" t="str">
        <f>IF(N494="","",VLOOKUP(N494,Prior_levels,2,TRUE))</f>
        <v>H</v>
      </c>
    </row>
    <row r="495" spans="1:18" x14ac:dyDescent="0.2">
      <c r="A495" s="1" t="s">
        <v>83</v>
      </c>
      <c r="B495" s="1" t="s">
        <v>12</v>
      </c>
      <c r="C495" s="2">
        <v>41155</v>
      </c>
      <c r="D495" s="1">
        <v>10</v>
      </c>
      <c r="E495" s="1" t="s">
        <v>34</v>
      </c>
      <c r="I495" s="1" t="s">
        <v>12</v>
      </c>
      <c r="J495" s="1" t="s">
        <v>40</v>
      </c>
      <c r="K495" s="1" t="s">
        <v>14</v>
      </c>
      <c r="L495" s="1" t="s">
        <v>12</v>
      </c>
      <c r="M495" s="1" t="s">
        <v>12</v>
      </c>
      <c r="N495" s="1">
        <v>33.18</v>
      </c>
      <c r="O495" s="1" t="s">
        <v>18</v>
      </c>
      <c r="P495" s="1">
        <v>12</v>
      </c>
      <c r="Q495" s="1" t="s">
        <v>16</v>
      </c>
      <c r="R495" s="1" t="str">
        <f>IF(N495="","",VLOOKUP(N495,Prior_levels,2,TRUE))</f>
        <v>H</v>
      </c>
    </row>
    <row r="496" spans="1:18" x14ac:dyDescent="0.2">
      <c r="A496" s="1" t="s">
        <v>83</v>
      </c>
      <c r="B496" s="1" t="s">
        <v>12</v>
      </c>
      <c r="C496" s="2">
        <v>41155</v>
      </c>
      <c r="D496" s="1">
        <v>10</v>
      </c>
      <c r="E496" s="1" t="s">
        <v>34</v>
      </c>
      <c r="I496" s="1" t="s">
        <v>12</v>
      </c>
      <c r="J496" s="1" t="s">
        <v>40</v>
      </c>
      <c r="K496" s="1" t="s">
        <v>14</v>
      </c>
      <c r="L496" s="1" t="s">
        <v>12</v>
      </c>
      <c r="M496" s="1" t="s">
        <v>12</v>
      </c>
      <c r="N496" s="1">
        <v>33.18</v>
      </c>
      <c r="O496" s="1" t="s">
        <v>19</v>
      </c>
      <c r="P496" s="1">
        <v>14</v>
      </c>
      <c r="Q496" s="1" t="s">
        <v>16</v>
      </c>
      <c r="R496" s="1" t="str">
        <f>IF(N496="","",VLOOKUP(N496,Prior_levels,2,TRUE))</f>
        <v>H</v>
      </c>
    </row>
    <row r="497" spans="1:18" x14ac:dyDescent="0.2">
      <c r="A497" s="1" t="s">
        <v>83</v>
      </c>
      <c r="B497" s="1" t="s">
        <v>12</v>
      </c>
      <c r="C497" s="2">
        <v>41155</v>
      </c>
      <c r="D497" s="1">
        <v>10</v>
      </c>
      <c r="E497" s="1" t="s">
        <v>34</v>
      </c>
      <c r="I497" s="1" t="s">
        <v>12</v>
      </c>
      <c r="J497" s="1" t="s">
        <v>40</v>
      </c>
      <c r="K497" s="1" t="s">
        <v>14</v>
      </c>
      <c r="L497" s="1" t="s">
        <v>12</v>
      </c>
      <c r="M497" s="1" t="s">
        <v>12</v>
      </c>
      <c r="N497" s="1">
        <v>33.18</v>
      </c>
      <c r="O497" s="1" t="s">
        <v>20</v>
      </c>
      <c r="P497" s="1">
        <v>21</v>
      </c>
      <c r="Q497" s="1" t="s">
        <v>16</v>
      </c>
      <c r="R497" s="1" t="str">
        <f>IF(N497="","",VLOOKUP(N497,Prior_levels,2,TRUE))</f>
        <v>H</v>
      </c>
    </row>
    <row r="498" spans="1:18" x14ac:dyDescent="0.2">
      <c r="A498" s="1" t="s">
        <v>83</v>
      </c>
      <c r="B498" s="1" t="s">
        <v>12</v>
      </c>
      <c r="C498" s="2">
        <v>41155</v>
      </c>
      <c r="D498" s="1">
        <v>10</v>
      </c>
      <c r="E498" s="1" t="s">
        <v>34</v>
      </c>
      <c r="I498" s="1" t="s">
        <v>12</v>
      </c>
      <c r="J498" s="1" t="s">
        <v>40</v>
      </c>
      <c r="K498" s="1" t="s">
        <v>14</v>
      </c>
      <c r="L498" s="1" t="s">
        <v>12</v>
      </c>
      <c r="M498" s="1" t="s">
        <v>12</v>
      </c>
      <c r="N498" s="1">
        <v>33.18</v>
      </c>
      <c r="O498" s="1" t="s">
        <v>21</v>
      </c>
      <c r="P498" s="1">
        <v>17</v>
      </c>
      <c r="Q498" s="1" t="s">
        <v>16</v>
      </c>
      <c r="R498" s="1" t="str">
        <f>IF(N498="","",VLOOKUP(N498,Prior_levels,2,TRUE))</f>
        <v>H</v>
      </c>
    </row>
    <row r="499" spans="1:18" x14ac:dyDescent="0.2">
      <c r="A499" s="1" t="s">
        <v>83</v>
      </c>
      <c r="B499" s="1" t="s">
        <v>12</v>
      </c>
      <c r="C499" s="2">
        <v>41155</v>
      </c>
      <c r="D499" s="1">
        <v>10</v>
      </c>
      <c r="E499" s="1" t="s">
        <v>34</v>
      </c>
      <c r="I499" s="1" t="s">
        <v>12</v>
      </c>
      <c r="J499" s="1" t="s">
        <v>40</v>
      </c>
      <c r="K499" s="1" t="s">
        <v>14</v>
      </c>
      <c r="L499" s="1" t="s">
        <v>12</v>
      </c>
      <c r="M499" s="1" t="s">
        <v>12</v>
      </c>
      <c r="N499" s="1">
        <v>33.18</v>
      </c>
      <c r="O499" s="1" t="s">
        <v>22</v>
      </c>
      <c r="P499" s="1">
        <v>-0.64</v>
      </c>
      <c r="Q499" s="1" t="s">
        <v>16</v>
      </c>
      <c r="R499" s="1" t="str">
        <f>IF(N499="","",VLOOKUP(N499,Prior_levels,2,TRUE))</f>
        <v>H</v>
      </c>
    </row>
    <row r="500" spans="1:18" x14ac:dyDescent="0.2">
      <c r="A500" s="1" t="s">
        <v>83</v>
      </c>
      <c r="B500" s="1" t="s">
        <v>12</v>
      </c>
      <c r="C500" s="2">
        <v>41155</v>
      </c>
      <c r="D500" s="1">
        <v>10</v>
      </c>
      <c r="E500" s="1" t="s">
        <v>34</v>
      </c>
      <c r="I500" s="1" t="s">
        <v>12</v>
      </c>
      <c r="J500" s="1" t="s">
        <v>40</v>
      </c>
      <c r="K500" s="1" t="s">
        <v>14</v>
      </c>
      <c r="L500" s="1" t="s">
        <v>12</v>
      </c>
      <c r="M500" s="1" t="s">
        <v>12</v>
      </c>
      <c r="N500" s="1">
        <v>33.18</v>
      </c>
      <c r="O500" s="1" t="s">
        <v>23</v>
      </c>
      <c r="P500" s="1">
        <v>0.34</v>
      </c>
      <c r="Q500" s="1" t="s">
        <v>16</v>
      </c>
      <c r="R500" s="1" t="str">
        <f>IF(N500="","",VLOOKUP(N500,Prior_levels,2,TRUE))</f>
        <v>H</v>
      </c>
    </row>
    <row r="501" spans="1:18" x14ac:dyDescent="0.2">
      <c r="A501" s="1" t="s">
        <v>83</v>
      </c>
      <c r="B501" s="1" t="s">
        <v>12</v>
      </c>
      <c r="C501" s="2">
        <v>41155</v>
      </c>
      <c r="D501" s="1">
        <v>10</v>
      </c>
      <c r="E501" s="1" t="s">
        <v>34</v>
      </c>
      <c r="I501" s="1" t="s">
        <v>12</v>
      </c>
      <c r="J501" s="1" t="s">
        <v>40</v>
      </c>
      <c r="K501" s="1" t="s">
        <v>14</v>
      </c>
      <c r="L501" s="1" t="s">
        <v>12</v>
      </c>
      <c r="M501" s="1" t="s">
        <v>12</v>
      </c>
      <c r="N501" s="1">
        <v>33.18</v>
      </c>
      <c r="O501" s="1" t="s">
        <v>24</v>
      </c>
      <c r="P501" s="1">
        <v>1.73</v>
      </c>
      <c r="Q501" s="1" t="s">
        <v>16</v>
      </c>
      <c r="R501" s="1" t="str">
        <f>IF(N501="","",VLOOKUP(N501,Prior_levels,2,TRUE))</f>
        <v>H</v>
      </c>
    </row>
    <row r="502" spans="1:18" x14ac:dyDescent="0.2">
      <c r="A502" s="1" t="s">
        <v>83</v>
      </c>
      <c r="B502" s="1" t="s">
        <v>12</v>
      </c>
      <c r="C502" s="2">
        <v>41155</v>
      </c>
      <c r="D502" s="1">
        <v>10</v>
      </c>
      <c r="E502" s="1" t="s">
        <v>34</v>
      </c>
      <c r="I502" s="1" t="s">
        <v>12</v>
      </c>
      <c r="J502" s="1" t="s">
        <v>40</v>
      </c>
      <c r="K502" s="1" t="s">
        <v>14</v>
      </c>
      <c r="L502" s="1" t="s">
        <v>12</v>
      </c>
      <c r="M502" s="1" t="s">
        <v>12</v>
      </c>
      <c r="N502" s="1">
        <v>33.18</v>
      </c>
      <c r="O502" s="1" t="s">
        <v>25</v>
      </c>
      <c r="P502" s="1">
        <v>-2.62</v>
      </c>
      <c r="Q502" s="1" t="s">
        <v>16</v>
      </c>
      <c r="R502" s="1" t="str">
        <f>IF(N502="","",VLOOKUP(N502,Prior_levels,2,TRUE))</f>
        <v>H</v>
      </c>
    </row>
    <row r="503" spans="1:18" x14ac:dyDescent="0.2">
      <c r="A503" s="1" t="s">
        <v>83</v>
      </c>
      <c r="B503" s="1" t="s">
        <v>12</v>
      </c>
      <c r="C503" s="2">
        <v>41155</v>
      </c>
      <c r="D503" s="1">
        <v>10</v>
      </c>
      <c r="E503" s="1" t="s">
        <v>34</v>
      </c>
      <c r="I503" s="1" t="s">
        <v>12</v>
      </c>
      <c r="J503" s="1" t="s">
        <v>40</v>
      </c>
      <c r="K503" s="1" t="s">
        <v>14</v>
      </c>
      <c r="L503" s="1" t="s">
        <v>12</v>
      </c>
      <c r="M503" s="1" t="s">
        <v>12</v>
      </c>
      <c r="N503" s="1">
        <v>33.18</v>
      </c>
      <c r="O503" s="1" t="s">
        <v>26</v>
      </c>
      <c r="P503" s="1">
        <v>9</v>
      </c>
      <c r="Q503" s="1" t="s">
        <v>16</v>
      </c>
      <c r="R503" s="1" t="str">
        <f>IF(N503="","",VLOOKUP(N503,Prior_levels,2,TRUE))</f>
        <v>H</v>
      </c>
    </row>
    <row r="504" spans="1:18" x14ac:dyDescent="0.2">
      <c r="A504" s="1" t="s">
        <v>83</v>
      </c>
      <c r="B504" s="1" t="s">
        <v>12</v>
      </c>
      <c r="C504" s="2">
        <v>41155</v>
      </c>
      <c r="D504" s="1">
        <v>10</v>
      </c>
      <c r="E504" s="1" t="s">
        <v>34</v>
      </c>
      <c r="I504" s="1" t="s">
        <v>12</v>
      </c>
      <c r="J504" s="1" t="s">
        <v>40</v>
      </c>
      <c r="K504" s="1" t="s">
        <v>14</v>
      </c>
      <c r="L504" s="1" t="s">
        <v>12</v>
      </c>
      <c r="M504" s="1" t="s">
        <v>12</v>
      </c>
      <c r="N504" s="1">
        <v>33.18</v>
      </c>
      <c r="O504" s="1" t="s">
        <v>27</v>
      </c>
      <c r="P504" s="1" t="s">
        <v>37</v>
      </c>
      <c r="Q504" s="1" t="s">
        <v>16</v>
      </c>
      <c r="R504" s="1" t="str">
        <f>IF(N504="","",VLOOKUP(N504,Prior_levels,2,TRUE))</f>
        <v>H</v>
      </c>
    </row>
    <row r="505" spans="1:18" x14ac:dyDescent="0.2">
      <c r="A505" s="1" t="s">
        <v>83</v>
      </c>
      <c r="B505" s="1" t="s">
        <v>12</v>
      </c>
      <c r="C505" s="2">
        <v>41155</v>
      </c>
      <c r="D505" s="1">
        <v>10</v>
      </c>
      <c r="E505" s="1" t="s">
        <v>34</v>
      </c>
      <c r="I505" s="1" t="s">
        <v>12</v>
      </c>
      <c r="J505" s="1" t="s">
        <v>40</v>
      </c>
      <c r="K505" s="1" t="s">
        <v>14</v>
      </c>
      <c r="L505" s="1" t="s">
        <v>12</v>
      </c>
      <c r="M505" s="1" t="s">
        <v>12</v>
      </c>
      <c r="N505" s="1">
        <v>33.18</v>
      </c>
      <c r="O505" s="1" t="s">
        <v>29</v>
      </c>
      <c r="P505" s="1" t="s">
        <v>37</v>
      </c>
      <c r="Q505" s="1" t="s">
        <v>16</v>
      </c>
      <c r="R505" s="1" t="str">
        <f>IF(N505="","",VLOOKUP(N505,Prior_levels,2,TRUE))</f>
        <v>H</v>
      </c>
    </row>
    <row r="506" spans="1:18" x14ac:dyDescent="0.2">
      <c r="A506" s="1" t="s">
        <v>83</v>
      </c>
      <c r="B506" s="1" t="s">
        <v>12</v>
      </c>
      <c r="C506" s="2">
        <v>41155</v>
      </c>
      <c r="D506" s="1">
        <v>10</v>
      </c>
      <c r="E506" s="1" t="s">
        <v>34</v>
      </c>
      <c r="I506" s="1" t="s">
        <v>12</v>
      </c>
      <c r="J506" s="1" t="s">
        <v>40</v>
      </c>
      <c r="K506" s="1" t="s">
        <v>14</v>
      </c>
      <c r="L506" s="1" t="s">
        <v>12</v>
      </c>
      <c r="M506" s="1" t="s">
        <v>12</v>
      </c>
      <c r="N506" s="1">
        <v>33.18</v>
      </c>
      <c r="O506" s="1" t="s">
        <v>30</v>
      </c>
      <c r="P506" s="1" t="s">
        <v>37</v>
      </c>
      <c r="Q506" s="1" t="s">
        <v>16</v>
      </c>
      <c r="R506" s="1" t="str">
        <f>IF(N506="","",VLOOKUP(N506,Prior_levels,2,TRUE))</f>
        <v>H</v>
      </c>
    </row>
    <row r="507" spans="1:18" x14ac:dyDescent="0.2">
      <c r="A507" s="1" t="s">
        <v>83</v>
      </c>
      <c r="B507" s="1" t="s">
        <v>12</v>
      </c>
      <c r="C507" s="2">
        <v>41155</v>
      </c>
      <c r="D507" s="1">
        <v>10</v>
      </c>
      <c r="E507" s="1" t="s">
        <v>34</v>
      </c>
      <c r="I507" s="1" t="s">
        <v>12</v>
      </c>
      <c r="J507" s="1" t="s">
        <v>40</v>
      </c>
      <c r="K507" s="1" t="s">
        <v>14</v>
      </c>
      <c r="L507" s="1" t="s">
        <v>12</v>
      </c>
      <c r="M507" s="1" t="s">
        <v>12</v>
      </c>
      <c r="N507" s="1">
        <v>33.18</v>
      </c>
      <c r="O507" s="1" t="s">
        <v>31</v>
      </c>
      <c r="P507" s="1" t="s">
        <v>28</v>
      </c>
      <c r="Q507" s="1" t="s">
        <v>16</v>
      </c>
      <c r="R507" s="1" t="str">
        <f>IF(N507="","",VLOOKUP(N507,Prior_levels,2,TRUE))</f>
        <v>H</v>
      </c>
    </row>
    <row r="508" spans="1:18" x14ac:dyDescent="0.2">
      <c r="A508" s="1" t="s">
        <v>83</v>
      </c>
      <c r="B508" s="1" t="s">
        <v>12</v>
      </c>
      <c r="C508" s="2">
        <v>41155</v>
      </c>
      <c r="D508" s="1">
        <v>10</v>
      </c>
      <c r="E508" s="1" t="s">
        <v>34</v>
      </c>
      <c r="I508" s="1" t="s">
        <v>12</v>
      </c>
      <c r="J508" s="1" t="s">
        <v>40</v>
      </c>
      <c r="K508" s="1" t="s">
        <v>14</v>
      </c>
      <c r="L508" s="1" t="s">
        <v>12</v>
      </c>
      <c r="M508" s="1" t="s">
        <v>12</v>
      </c>
      <c r="N508" s="1">
        <v>33.18</v>
      </c>
      <c r="O508" s="1" t="s">
        <v>32</v>
      </c>
      <c r="P508" s="1" t="s">
        <v>37</v>
      </c>
      <c r="Q508" s="1" t="s">
        <v>16</v>
      </c>
      <c r="R508" s="1" t="str">
        <f>IF(N508="","",VLOOKUP(N508,Prior_levels,2,TRUE))</f>
        <v>H</v>
      </c>
    </row>
    <row r="509" spans="1:18" x14ac:dyDescent="0.2">
      <c r="A509" s="1" t="s">
        <v>84</v>
      </c>
      <c r="B509" s="1" t="s">
        <v>12</v>
      </c>
      <c r="C509" s="2">
        <v>41155</v>
      </c>
      <c r="D509" s="1">
        <v>10</v>
      </c>
      <c r="E509" s="1" t="s">
        <v>39</v>
      </c>
      <c r="I509" s="1" t="s">
        <v>12</v>
      </c>
      <c r="J509" s="1" t="s">
        <v>13</v>
      </c>
      <c r="K509" s="1" t="s">
        <v>14</v>
      </c>
      <c r="L509" s="1" t="s">
        <v>12</v>
      </c>
      <c r="M509" s="1" t="s">
        <v>12</v>
      </c>
      <c r="N509" s="1">
        <v>27.12</v>
      </c>
      <c r="O509" s="1" t="s">
        <v>15</v>
      </c>
      <c r="P509" s="1">
        <v>5.5</v>
      </c>
      <c r="Q509" s="1" t="s">
        <v>16</v>
      </c>
      <c r="R509" s="1" t="str">
        <f>IF(N509="","",VLOOKUP(N509,Prior_levels,2,TRUE))</f>
        <v>M</v>
      </c>
    </row>
    <row r="510" spans="1:18" x14ac:dyDescent="0.2">
      <c r="A510" s="1" t="s">
        <v>84</v>
      </c>
      <c r="B510" s="1" t="s">
        <v>12</v>
      </c>
      <c r="C510" s="2">
        <v>41155</v>
      </c>
      <c r="D510" s="1">
        <v>10</v>
      </c>
      <c r="E510" s="1" t="s">
        <v>39</v>
      </c>
      <c r="I510" s="1" t="s">
        <v>12</v>
      </c>
      <c r="J510" s="1" t="s">
        <v>13</v>
      </c>
      <c r="K510" s="1" t="s">
        <v>14</v>
      </c>
      <c r="L510" s="1" t="s">
        <v>12</v>
      </c>
      <c r="M510" s="1" t="s">
        <v>12</v>
      </c>
      <c r="N510" s="1">
        <v>27.12</v>
      </c>
      <c r="O510" s="1" t="s">
        <v>17</v>
      </c>
      <c r="P510" s="1">
        <v>0.95</v>
      </c>
      <c r="Q510" s="1" t="s">
        <v>16</v>
      </c>
      <c r="R510" s="1" t="str">
        <f>IF(N510="","",VLOOKUP(N510,Prior_levels,2,TRUE))</f>
        <v>M</v>
      </c>
    </row>
    <row r="511" spans="1:18" x14ac:dyDescent="0.2">
      <c r="A511" s="1" t="s">
        <v>84</v>
      </c>
      <c r="B511" s="1" t="s">
        <v>12</v>
      </c>
      <c r="C511" s="2">
        <v>41155</v>
      </c>
      <c r="D511" s="1">
        <v>10</v>
      </c>
      <c r="E511" s="1" t="s">
        <v>39</v>
      </c>
      <c r="I511" s="1" t="s">
        <v>12</v>
      </c>
      <c r="J511" s="1" t="s">
        <v>13</v>
      </c>
      <c r="K511" s="1" t="s">
        <v>14</v>
      </c>
      <c r="L511" s="1" t="s">
        <v>12</v>
      </c>
      <c r="M511" s="1" t="s">
        <v>12</v>
      </c>
      <c r="N511" s="1">
        <v>27.12</v>
      </c>
      <c r="O511" s="1" t="s">
        <v>18</v>
      </c>
      <c r="P511" s="1">
        <v>10</v>
      </c>
      <c r="Q511" s="1" t="s">
        <v>16</v>
      </c>
      <c r="R511" s="1" t="str">
        <f>IF(N511="","",VLOOKUP(N511,Prior_levels,2,TRUE))</f>
        <v>M</v>
      </c>
    </row>
    <row r="512" spans="1:18" x14ac:dyDescent="0.2">
      <c r="A512" s="1" t="s">
        <v>84</v>
      </c>
      <c r="B512" s="1" t="s">
        <v>12</v>
      </c>
      <c r="C512" s="2">
        <v>41155</v>
      </c>
      <c r="D512" s="1">
        <v>10</v>
      </c>
      <c r="E512" s="1" t="s">
        <v>39</v>
      </c>
      <c r="I512" s="1" t="s">
        <v>12</v>
      </c>
      <c r="J512" s="1" t="s">
        <v>13</v>
      </c>
      <c r="K512" s="1" t="s">
        <v>14</v>
      </c>
      <c r="L512" s="1" t="s">
        <v>12</v>
      </c>
      <c r="M512" s="1" t="s">
        <v>12</v>
      </c>
      <c r="N512" s="1">
        <v>27.12</v>
      </c>
      <c r="O512" s="1" t="s">
        <v>19</v>
      </c>
      <c r="P512" s="1">
        <v>12</v>
      </c>
      <c r="Q512" s="1" t="s">
        <v>16</v>
      </c>
      <c r="R512" s="1" t="str">
        <f>IF(N512="","",VLOOKUP(N512,Prior_levels,2,TRUE))</f>
        <v>M</v>
      </c>
    </row>
    <row r="513" spans="1:18" x14ac:dyDescent="0.2">
      <c r="A513" s="1" t="s">
        <v>84</v>
      </c>
      <c r="B513" s="1" t="s">
        <v>12</v>
      </c>
      <c r="C513" s="2">
        <v>41155</v>
      </c>
      <c r="D513" s="1">
        <v>10</v>
      </c>
      <c r="E513" s="1" t="s">
        <v>39</v>
      </c>
      <c r="I513" s="1" t="s">
        <v>12</v>
      </c>
      <c r="J513" s="1" t="s">
        <v>13</v>
      </c>
      <c r="K513" s="1" t="s">
        <v>14</v>
      </c>
      <c r="L513" s="1" t="s">
        <v>12</v>
      </c>
      <c r="M513" s="1" t="s">
        <v>12</v>
      </c>
      <c r="N513" s="1">
        <v>27.12</v>
      </c>
      <c r="O513" s="1" t="s">
        <v>20</v>
      </c>
      <c r="P513" s="1">
        <v>16.5</v>
      </c>
      <c r="Q513" s="1" t="s">
        <v>16</v>
      </c>
      <c r="R513" s="1" t="str">
        <f>IF(N513="","",VLOOKUP(N513,Prior_levels,2,TRUE))</f>
        <v>M</v>
      </c>
    </row>
    <row r="514" spans="1:18" x14ac:dyDescent="0.2">
      <c r="A514" s="1" t="s">
        <v>84</v>
      </c>
      <c r="B514" s="1" t="s">
        <v>12</v>
      </c>
      <c r="C514" s="2">
        <v>41155</v>
      </c>
      <c r="D514" s="1">
        <v>10</v>
      </c>
      <c r="E514" s="1" t="s">
        <v>39</v>
      </c>
      <c r="I514" s="1" t="s">
        <v>12</v>
      </c>
      <c r="J514" s="1" t="s">
        <v>13</v>
      </c>
      <c r="K514" s="1" t="s">
        <v>14</v>
      </c>
      <c r="L514" s="1" t="s">
        <v>12</v>
      </c>
      <c r="M514" s="1" t="s">
        <v>12</v>
      </c>
      <c r="N514" s="1">
        <v>27.12</v>
      </c>
      <c r="O514" s="1" t="s">
        <v>21</v>
      </c>
      <c r="P514" s="1">
        <v>16.5</v>
      </c>
      <c r="Q514" s="1" t="s">
        <v>16</v>
      </c>
      <c r="R514" s="1" t="str">
        <f>IF(N514="","",VLOOKUP(N514,Prior_levels,2,TRUE))</f>
        <v>M</v>
      </c>
    </row>
    <row r="515" spans="1:18" x14ac:dyDescent="0.2">
      <c r="A515" s="1" t="s">
        <v>84</v>
      </c>
      <c r="B515" s="1" t="s">
        <v>12</v>
      </c>
      <c r="C515" s="2">
        <v>41155</v>
      </c>
      <c r="D515" s="1">
        <v>10</v>
      </c>
      <c r="E515" s="1" t="s">
        <v>39</v>
      </c>
      <c r="I515" s="1" t="s">
        <v>12</v>
      </c>
      <c r="J515" s="1" t="s">
        <v>13</v>
      </c>
      <c r="K515" s="1" t="s">
        <v>14</v>
      </c>
      <c r="L515" s="1" t="s">
        <v>12</v>
      </c>
      <c r="M515" s="1" t="s">
        <v>12</v>
      </c>
      <c r="N515" s="1">
        <v>27.12</v>
      </c>
      <c r="O515" s="1" t="s">
        <v>22</v>
      </c>
      <c r="P515" s="1">
        <v>-0.05</v>
      </c>
      <c r="Q515" s="1" t="s">
        <v>16</v>
      </c>
      <c r="R515" s="1" t="str">
        <f>IF(N515="","",VLOOKUP(N515,Prior_levels,2,TRUE))</f>
        <v>M</v>
      </c>
    </row>
    <row r="516" spans="1:18" x14ac:dyDescent="0.2">
      <c r="A516" s="1" t="s">
        <v>84</v>
      </c>
      <c r="B516" s="1" t="s">
        <v>12</v>
      </c>
      <c r="C516" s="2">
        <v>41155</v>
      </c>
      <c r="D516" s="1">
        <v>10</v>
      </c>
      <c r="E516" s="1" t="s">
        <v>39</v>
      </c>
      <c r="I516" s="1" t="s">
        <v>12</v>
      </c>
      <c r="J516" s="1" t="s">
        <v>13</v>
      </c>
      <c r="K516" s="1" t="s">
        <v>14</v>
      </c>
      <c r="L516" s="1" t="s">
        <v>12</v>
      </c>
      <c r="M516" s="1" t="s">
        <v>12</v>
      </c>
      <c r="N516" s="1">
        <v>27.12</v>
      </c>
      <c r="O516" s="1" t="s">
        <v>23</v>
      </c>
      <c r="P516" s="1">
        <v>1.36</v>
      </c>
      <c r="Q516" s="1" t="s">
        <v>16</v>
      </c>
      <c r="R516" s="1" t="str">
        <f>IF(N516="","",VLOOKUP(N516,Prior_levels,2,TRUE))</f>
        <v>M</v>
      </c>
    </row>
    <row r="517" spans="1:18" x14ac:dyDescent="0.2">
      <c r="A517" s="1" t="s">
        <v>84</v>
      </c>
      <c r="B517" s="1" t="s">
        <v>12</v>
      </c>
      <c r="C517" s="2">
        <v>41155</v>
      </c>
      <c r="D517" s="1">
        <v>10</v>
      </c>
      <c r="E517" s="1" t="s">
        <v>39</v>
      </c>
      <c r="I517" s="1" t="s">
        <v>12</v>
      </c>
      <c r="J517" s="1" t="s">
        <v>13</v>
      </c>
      <c r="K517" s="1" t="s">
        <v>14</v>
      </c>
      <c r="L517" s="1" t="s">
        <v>12</v>
      </c>
      <c r="M517" s="1" t="s">
        <v>12</v>
      </c>
      <c r="N517" s="1">
        <v>27.12</v>
      </c>
      <c r="O517" s="1" t="s">
        <v>24</v>
      </c>
      <c r="P517" s="1">
        <v>5.25</v>
      </c>
      <c r="Q517" s="1" t="s">
        <v>16</v>
      </c>
      <c r="R517" s="1" t="str">
        <f>IF(N517="","",VLOOKUP(N517,Prior_levels,2,TRUE))</f>
        <v>M</v>
      </c>
    </row>
    <row r="518" spans="1:18" x14ac:dyDescent="0.2">
      <c r="A518" s="1" t="s">
        <v>84</v>
      </c>
      <c r="B518" s="1" t="s">
        <v>12</v>
      </c>
      <c r="C518" s="2">
        <v>41155</v>
      </c>
      <c r="D518" s="1">
        <v>10</v>
      </c>
      <c r="E518" s="1" t="s">
        <v>39</v>
      </c>
      <c r="I518" s="1" t="s">
        <v>12</v>
      </c>
      <c r="J518" s="1" t="s">
        <v>13</v>
      </c>
      <c r="K518" s="1" t="s">
        <v>14</v>
      </c>
      <c r="L518" s="1" t="s">
        <v>12</v>
      </c>
      <c r="M518" s="1" t="s">
        <v>12</v>
      </c>
      <c r="N518" s="1">
        <v>27.12</v>
      </c>
      <c r="O518" s="1" t="s">
        <v>25</v>
      </c>
      <c r="P518" s="1">
        <v>1.61</v>
      </c>
      <c r="Q518" s="1" t="s">
        <v>16</v>
      </c>
      <c r="R518" s="1" t="str">
        <f>IF(N518="","",VLOOKUP(N518,Prior_levels,2,TRUE))</f>
        <v>M</v>
      </c>
    </row>
    <row r="519" spans="1:18" x14ac:dyDescent="0.2">
      <c r="A519" s="1" t="s">
        <v>84</v>
      </c>
      <c r="B519" s="1" t="s">
        <v>12</v>
      </c>
      <c r="C519" s="2">
        <v>41155</v>
      </c>
      <c r="D519" s="1">
        <v>10</v>
      </c>
      <c r="E519" s="1" t="s">
        <v>39</v>
      </c>
      <c r="I519" s="1" t="s">
        <v>12</v>
      </c>
      <c r="J519" s="1" t="s">
        <v>13</v>
      </c>
      <c r="K519" s="1" t="s">
        <v>14</v>
      </c>
      <c r="L519" s="1" t="s">
        <v>12</v>
      </c>
      <c r="M519" s="1" t="s">
        <v>12</v>
      </c>
      <c r="N519" s="1">
        <v>27.12</v>
      </c>
      <c r="O519" s="1" t="s">
        <v>26</v>
      </c>
      <c r="P519" s="1">
        <v>10</v>
      </c>
      <c r="Q519" s="1" t="s">
        <v>16</v>
      </c>
      <c r="R519" s="1" t="str">
        <f>IF(N519="","",VLOOKUP(N519,Prior_levels,2,TRUE))</f>
        <v>M</v>
      </c>
    </row>
    <row r="520" spans="1:18" x14ac:dyDescent="0.2">
      <c r="A520" s="1" t="s">
        <v>84</v>
      </c>
      <c r="B520" s="1" t="s">
        <v>12</v>
      </c>
      <c r="C520" s="2">
        <v>41155</v>
      </c>
      <c r="D520" s="1">
        <v>10</v>
      </c>
      <c r="E520" s="1" t="s">
        <v>39</v>
      </c>
      <c r="I520" s="1" t="s">
        <v>12</v>
      </c>
      <c r="J520" s="1" t="s">
        <v>13</v>
      </c>
      <c r="K520" s="1" t="s">
        <v>14</v>
      </c>
      <c r="L520" s="1" t="s">
        <v>12</v>
      </c>
      <c r="M520" s="1" t="s">
        <v>12</v>
      </c>
      <c r="N520" s="1">
        <v>27.12</v>
      </c>
      <c r="O520" s="1" t="s">
        <v>32</v>
      </c>
      <c r="P520" s="1" t="s">
        <v>37</v>
      </c>
      <c r="Q520" s="1" t="s">
        <v>16</v>
      </c>
      <c r="R520" s="1" t="str">
        <f>IF(N520="","",VLOOKUP(N520,Prior_levels,2,TRUE))</f>
        <v>M</v>
      </c>
    </row>
    <row r="521" spans="1:18" x14ac:dyDescent="0.2">
      <c r="A521" s="1" t="s">
        <v>84</v>
      </c>
      <c r="B521" s="1" t="s">
        <v>12</v>
      </c>
      <c r="C521" s="2">
        <v>41155</v>
      </c>
      <c r="D521" s="1">
        <v>10</v>
      </c>
      <c r="E521" s="1" t="s">
        <v>39</v>
      </c>
      <c r="I521" s="1" t="s">
        <v>12</v>
      </c>
      <c r="J521" s="1" t="s">
        <v>13</v>
      </c>
      <c r="K521" s="1" t="s">
        <v>14</v>
      </c>
      <c r="L521" s="1" t="s">
        <v>12</v>
      </c>
      <c r="M521" s="1" t="s">
        <v>12</v>
      </c>
      <c r="N521" s="1">
        <v>27.12</v>
      </c>
      <c r="O521" s="1" t="s">
        <v>27</v>
      </c>
      <c r="P521" s="1" t="s">
        <v>37</v>
      </c>
      <c r="Q521" s="1" t="s">
        <v>16</v>
      </c>
      <c r="R521" s="1" t="str">
        <f>IF(N521="","",VLOOKUP(N521,Prior_levels,2,TRUE))</f>
        <v>M</v>
      </c>
    </row>
    <row r="522" spans="1:18" x14ac:dyDescent="0.2">
      <c r="A522" s="1" t="s">
        <v>84</v>
      </c>
      <c r="B522" s="1" t="s">
        <v>12</v>
      </c>
      <c r="C522" s="2">
        <v>41155</v>
      </c>
      <c r="D522" s="1">
        <v>10</v>
      </c>
      <c r="E522" s="1" t="s">
        <v>39</v>
      </c>
      <c r="I522" s="1" t="s">
        <v>12</v>
      </c>
      <c r="J522" s="1" t="s">
        <v>13</v>
      </c>
      <c r="K522" s="1" t="s">
        <v>14</v>
      </c>
      <c r="L522" s="1" t="s">
        <v>12</v>
      </c>
      <c r="M522" s="1" t="s">
        <v>12</v>
      </c>
      <c r="N522" s="1">
        <v>27.12</v>
      </c>
      <c r="O522" s="1" t="s">
        <v>29</v>
      </c>
      <c r="P522" s="1" t="s">
        <v>37</v>
      </c>
      <c r="Q522" s="1" t="s">
        <v>16</v>
      </c>
      <c r="R522" s="1" t="str">
        <f>IF(N522="","",VLOOKUP(N522,Prior_levels,2,TRUE))</f>
        <v>M</v>
      </c>
    </row>
    <row r="523" spans="1:18" x14ac:dyDescent="0.2">
      <c r="A523" s="1" t="s">
        <v>84</v>
      </c>
      <c r="B523" s="1" t="s">
        <v>12</v>
      </c>
      <c r="C523" s="2">
        <v>41155</v>
      </c>
      <c r="D523" s="1">
        <v>10</v>
      </c>
      <c r="E523" s="1" t="s">
        <v>39</v>
      </c>
      <c r="I523" s="1" t="s">
        <v>12</v>
      </c>
      <c r="J523" s="1" t="s">
        <v>13</v>
      </c>
      <c r="K523" s="1" t="s">
        <v>14</v>
      </c>
      <c r="L523" s="1" t="s">
        <v>12</v>
      </c>
      <c r="M523" s="1" t="s">
        <v>12</v>
      </c>
      <c r="N523" s="1">
        <v>27.12</v>
      </c>
      <c r="O523" s="1" t="s">
        <v>30</v>
      </c>
      <c r="P523" s="1" t="s">
        <v>37</v>
      </c>
      <c r="Q523" s="1" t="s">
        <v>16</v>
      </c>
      <c r="R523" s="1" t="str">
        <f>IF(N523="","",VLOOKUP(N523,Prior_levels,2,TRUE))</f>
        <v>M</v>
      </c>
    </row>
    <row r="524" spans="1:18" x14ac:dyDescent="0.2">
      <c r="A524" s="1" t="s">
        <v>84</v>
      </c>
      <c r="B524" s="1" t="s">
        <v>12</v>
      </c>
      <c r="C524" s="2">
        <v>41155</v>
      </c>
      <c r="D524" s="1">
        <v>10</v>
      </c>
      <c r="E524" s="1" t="s">
        <v>39</v>
      </c>
      <c r="I524" s="1" t="s">
        <v>12</v>
      </c>
      <c r="J524" s="1" t="s">
        <v>13</v>
      </c>
      <c r="K524" s="1" t="s">
        <v>14</v>
      </c>
      <c r="L524" s="1" t="s">
        <v>12</v>
      </c>
      <c r="M524" s="1" t="s">
        <v>12</v>
      </c>
      <c r="N524" s="1">
        <v>27.12</v>
      </c>
      <c r="O524" s="1" t="s">
        <v>31</v>
      </c>
      <c r="P524" s="1" t="s">
        <v>37</v>
      </c>
      <c r="Q524" s="1" t="s">
        <v>16</v>
      </c>
      <c r="R524" s="1" t="str">
        <f>IF(N524="","",VLOOKUP(N524,Prior_levels,2,TRUE))</f>
        <v>M</v>
      </c>
    </row>
    <row r="525" spans="1:18" x14ac:dyDescent="0.2">
      <c r="A525" s="1" t="s">
        <v>85</v>
      </c>
      <c r="B525" s="1" t="s">
        <v>12</v>
      </c>
      <c r="C525" s="2">
        <v>41155</v>
      </c>
      <c r="D525" s="1">
        <v>10</v>
      </c>
      <c r="E525" s="1" t="s">
        <v>52</v>
      </c>
      <c r="I525" s="1" t="s">
        <v>12</v>
      </c>
      <c r="J525" s="1" t="s">
        <v>86</v>
      </c>
      <c r="K525" s="1" t="s">
        <v>14</v>
      </c>
      <c r="L525" s="1" t="s">
        <v>12</v>
      </c>
      <c r="M525" s="1" t="s">
        <v>12</v>
      </c>
      <c r="N525" s="1">
        <v>15.06</v>
      </c>
      <c r="O525" s="1" t="s">
        <v>15</v>
      </c>
      <c r="P525" s="1">
        <v>2.2999999999999998</v>
      </c>
      <c r="Q525" s="1" t="s">
        <v>16</v>
      </c>
      <c r="R525" s="1" t="str">
        <f>IF(N525="","",VLOOKUP(N525,Prior_levels,2,TRUE))</f>
        <v>L</v>
      </c>
    </row>
    <row r="526" spans="1:18" x14ac:dyDescent="0.2">
      <c r="A526" s="1" t="s">
        <v>85</v>
      </c>
      <c r="B526" s="1" t="s">
        <v>12</v>
      </c>
      <c r="C526" s="2">
        <v>41155</v>
      </c>
      <c r="D526" s="1">
        <v>10</v>
      </c>
      <c r="E526" s="1" t="s">
        <v>52</v>
      </c>
      <c r="I526" s="1" t="s">
        <v>12</v>
      </c>
      <c r="J526" s="1" t="s">
        <v>86</v>
      </c>
      <c r="K526" s="1" t="s">
        <v>14</v>
      </c>
      <c r="L526" s="1" t="s">
        <v>12</v>
      </c>
      <c r="M526" s="1" t="s">
        <v>12</v>
      </c>
      <c r="N526" s="1">
        <v>15.06</v>
      </c>
      <c r="O526" s="1" t="s">
        <v>17</v>
      </c>
      <c r="P526" s="1">
        <v>0.39</v>
      </c>
      <c r="Q526" s="1" t="s">
        <v>16</v>
      </c>
      <c r="R526" s="1" t="str">
        <f>IF(N526="","",VLOOKUP(N526,Prior_levels,2,TRUE))</f>
        <v>L</v>
      </c>
    </row>
    <row r="527" spans="1:18" x14ac:dyDescent="0.2">
      <c r="A527" s="1" t="s">
        <v>85</v>
      </c>
      <c r="B527" s="1" t="s">
        <v>12</v>
      </c>
      <c r="C527" s="2">
        <v>41155</v>
      </c>
      <c r="D527" s="1">
        <v>10</v>
      </c>
      <c r="E527" s="1" t="s">
        <v>52</v>
      </c>
      <c r="I527" s="1" t="s">
        <v>12</v>
      </c>
      <c r="J527" s="1" t="s">
        <v>86</v>
      </c>
      <c r="K527" s="1" t="s">
        <v>14</v>
      </c>
      <c r="L527" s="1" t="s">
        <v>12</v>
      </c>
      <c r="M527" s="1" t="s">
        <v>12</v>
      </c>
      <c r="N527" s="1">
        <v>15.06</v>
      </c>
      <c r="O527" s="1" t="s">
        <v>18</v>
      </c>
      <c r="P527" s="1">
        <v>4</v>
      </c>
      <c r="Q527" s="1" t="s">
        <v>16</v>
      </c>
      <c r="R527" s="1" t="str">
        <f>IF(N527="","",VLOOKUP(N527,Prior_levels,2,TRUE))</f>
        <v>L</v>
      </c>
    </row>
    <row r="528" spans="1:18" x14ac:dyDescent="0.2">
      <c r="A528" s="1" t="s">
        <v>85</v>
      </c>
      <c r="B528" s="1" t="s">
        <v>12</v>
      </c>
      <c r="C528" s="2">
        <v>41155</v>
      </c>
      <c r="D528" s="1">
        <v>10</v>
      </c>
      <c r="E528" s="1" t="s">
        <v>52</v>
      </c>
      <c r="I528" s="1" t="s">
        <v>12</v>
      </c>
      <c r="J528" s="1" t="s">
        <v>86</v>
      </c>
      <c r="K528" s="1" t="s">
        <v>14</v>
      </c>
      <c r="L528" s="1" t="s">
        <v>12</v>
      </c>
      <c r="M528" s="1" t="s">
        <v>12</v>
      </c>
      <c r="N528" s="1">
        <v>15.06</v>
      </c>
      <c r="O528" s="1" t="s">
        <v>19</v>
      </c>
      <c r="P528" s="1">
        <v>6</v>
      </c>
      <c r="Q528" s="1" t="s">
        <v>16</v>
      </c>
      <c r="R528" s="1" t="str">
        <f>IF(N528="","",VLOOKUP(N528,Prior_levels,2,TRUE))</f>
        <v>L</v>
      </c>
    </row>
    <row r="529" spans="1:18" x14ac:dyDescent="0.2">
      <c r="A529" s="1" t="s">
        <v>85</v>
      </c>
      <c r="B529" s="1" t="s">
        <v>12</v>
      </c>
      <c r="C529" s="2">
        <v>41155</v>
      </c>
      <c r="D529" s="1">
        <v>10</v>
      </c>
      <c r="E529" s="1" t="s">
        <v>52</v>
      </c>
      <c r="I529" s="1" t="s">
        <v>12</v>
      </c>
      <c r="J529" s="1" t="s">
        <v>86</v>
      </c>
      <c r="K529" s="1" t="s">
        <v>14</v>
      </c>
      <c r="L529" s="1" t="s">
        <v>12</v>
      </c>
      <c r="M529" s="1" t="s">
        <v>12</v>
      </c>
      <c r="N529" s="1">
        <v>15.06</v>
      </c>
      <c r="O529" s="1" t="s">
        <v>20</v>
      </c>
      <c r="P529" s="1">
        <v>6</v>
      </c>
      <c r="Q529" s="1" t="s">
        <v>16</v>
      </c>
      <c r="R529" s="1" t="str">
        <f>IF(N529="","",VLOOKUP(N529,Prior_levels,2,TRUE))</f>
        <v>L</v>
      </c>
    </row>
    <row r="530" spans="1:18" x14ac:dyDescent="0.2">
      <c r="A530" s="1" t="s">
        <v>85</v>
      </c>
      <c r="B530" s="1" t="s">
        <v>12</v>
      </c>
      <c r="C530" s="2">
        <v>41155</v>
      </c>
      <c r="D530" s="1">
        <v>10</v>
      </c>
      <c r="E530" s="1" t="s">
        <v>52</v>
      </c>
      <c r="I530" s="1" t="s">
        <v>12</v>
      </c>
      <c r="J530" s="1" t="s">
        <v>86</v>
      </c>
      <c r="K530" s="1" t="s">
        <v>14</v>
      </c>
      <c r="L530" s="1" t="s">
        <v>12</v>
      </c>
      <c r="M530" s="1" t="s">
        <v>12</v>
      </c>
      <c r="N530" s="1">
        <v>15.06</v>
      </c>
      <c r="O530" s="1" t="s">
        <v>21</v>
      </c>
      <c r="P530" s="1">
        <v>7</v>
      </c>
      <c r="Q530" s="1" t="s">
        <v>16</v>
      </c>
      <c r="R530" s="1" t="str">
        <f>IF(N530="","",VLOOKUP(N530,Prior_levels,2,TRUE))</f>
        <v>L</v>
      </c>
    </row>
    <row r="531" spans="1:18" x14ac:dyDescent="0.2">
      <c r="A531" s="1" t="s">
        <v>85</v>
      </c>
      <c r="B531" s="1" t="s">
        <v>12</v>
      </c>
      <c r="C531" s="2">
        <v>41155</v>
      </c>
      <c r="D531" s="1">
        <v>10</v>
      </c>
      <c r="E531" s="1" t="s">
        <v>52</v>
      </c>
      <c r="I531" s="1" t="s">
        <v>12</v>
      </c>
      <c r="J531" s="1" t="s">
        <v>86</v>
      </c>
      <c r="K531" s="1" t="s">
        <v>14</v>
      </c>
      <c r="L531" s="1" t="s">
        <v>12</v>
      </c>
      <c r="M531" s="1" t="s">
        <v>12</v>
      </c>
      <c r="N531" s="1">
        <v>15.06</v>
      </c>
      <c r="O531" s="1" t="s">
        <v>22</v>
      </c>
      <c r="P531" s="1">
        <v>-0.66</v>
      </c>
      <c r="Q531" s="1" t="s">
        <v>16</v>
      </c>
      <c r="R531" s="1" t="str">
        <f>IF(N531="","",VLOOKUP(N531,Prior_levels,2,TRUE))</f>
        <v>L</v>
      </c>
    </row>
    <row r="532" spans="1:18" x14ac:dyDescent="0.2">
      <c r="A532" s="1" t="s">
        <v>85</v>
      </c>
      <c r="B532" s="1" t="s">
        <v>12</v>
      </c>
      <c r="C532" s="2">
        <v>41155</v>
      </c>
      <c r="D532" s="1">
        <v>10</v>
      </c>
      <c r="E532" s="1" t="s">
        <v>52</v>
      </c>
      <c r="I532" s="1" t="s">
        <v>12</v>
      </c>
      <c r="J532" s="1" t="s">
        <v>86</v>
      </c>
      <c r="K532" s="1" t="s">
        <v>14</v>
      </c>
      <c r="L532" s="1" t="s">
        <v>12</v>
      </c>
      <c r="M532" s="1" t="s">
        <v>12</v>
      </c>
      <c r="N532" s="1">
        <v>15.06</v>
      </c>
      <c r="O532" s="1" t="s">
        <v>23</v>
      </c>
      <c r="P532" s="1">
        <v>1.68</v>
      </c>
      <c r="Q532" s="1" t="s">
        <v>16</v>
      </c>
      <c r="R532" s="1" t="str">
        <f>IF(N532="","",VLOOKUP(N532,Prior_levels,2,TRUE))</f>
        <v>L</v>
      </c>
    </row>
    <row r="533" spans="1:18" x14ac:dyDescent="0.2">
      <c r="A533" s="1" t="s">
        <v>85</v>
      </c>
      <c r="B533" s="1" t="s">
        <v>12</v>
      </c>
      <c r="C533" s="2">
        <v>41155</v>
      </c>
      <c r="D533" s="1">
        <v>10</v>
      </c>
      <c r="E533" s="1" t="s">
        <v>52</v>
      </c>
      <c r="I533" s="1" t="s">
        <v>12</v>
      </c>
      <c r="J533" s="1" t="s">
        <v>86</v>
      </c>
      <c r="K533" s="1" t="s">
        <v>14</v>
      </c>
      <c r="L533" s="1" t="s">
        <v>12</v>
      </c>
      <c r="M533" s="1" t="s">
        <v>12</v>
      </c>
      <c r="N533" s="1">
        <v>15.06</v>
      </c>
      <c r="O533" s="1" t="s">
        <v>25</v>
      </c>
      <c r="P533" s="1">
        <v>-1.63</v>
      </c>
      <c r="Q533" s="1" t="s">
        <v>16</v>
      </c>
      <c r="R533" s="1" t="str">
        <f>IF(N533="","",VLOOKUP(N533,Prior_levels,2,TRUE))</f>
        <v>L</v>
      </c>
    </row>
    <row r="534" spans="1:18" x14ac:dyDescent="0.2">
      <c r="A534" s="1" t="s">
        <v>85</v>
      </c>
      <c r="B534" s="1" t="s">
        <v>12</v>
      </c>
      <c r="C534" s="2">
        <v>41155</v>
      </c>
      <c r="D534" s="1">
        <v>10</v>
      </c>
      <c r="E534" s="1" t="s">
        <v>52</v>
      </c>
      <c r="I534" s="1" t="s">
        <v>12</v>
      </c>
      <c r="J534" s="1" t="s">
        <v>86</v>
      </c>
      <c r="K534" s="1" t="s">
        <v>14</v>
      </c>
      <c r="L534" s="1" t="s">
        <v>12</v>
      </c>
      <c r="M534" s="1" t="s">
        <v>12</v>
      </c>
      <c r="N534" s="1">
        <v>15.06</v>
      </c>
      <c r="O534" s="1" t="s">
        <v>26</v>
      </c>
      <c r="P534" s="1">
        <v>0</v>
      </c>
      <c r="Q534" s="1" t="s">
        <v>16</v>
      </c>
      <c r="R534" s="1" t="str">
        <f>IF(N534="","",VLOOKUP(N534,Prior_levels,2,TRUE))</f>
        <v>L</v>
      </c>
    </row>
    <row r="535" spans="1:18" x14ac:dyDescent="0.2">
      <c r="A535" s="1" t="s">
        <v>85</v>
      </c>
      <c r="B535" s="1" t="s">
        <v>12</v>
      </c>
      <c r="C535" s="2">
        <v>41155</v>
      </c>
      <c r="D535" s="1">
        <v>10</v>
      </c>
      <c r="E535" s="1" t="s">
        <v>52</v>
      </c>
      <c r="I535" s="1" t="s">
        <v>12</v>
      </c>
      <c r="J535" s="1" t="s">
        <v>86</v>
      </c>
      <c r="K535" s="1" t="s">
        <v>14</v>
      </c>
      <c r="L535" s="1" t="s">
        <v>12</v>
      </c>
      <c r="M535" s="1" t="s">
        <v>12</v>
      </c>
      <c r="N535" s="1">
        <v>15.06</v>
      </c>
      <c r="O535" s="1" t="s">
        <v>24</v>
      </c>
      <c r="P535" s="1">
        <v>3.44</v>
      </c>
      <c r="Q535" s="1" t="s">
        <v>16</v>
      </c>
      <c r="R535" s="1" t="str">
        <f>IF(N535="","",VLOOKUP(N535,Prior_levels,2,TRUE))</f>
        <v>L</v>
      </c>
    </row>
    <row r="536" spans="1:18" x14ac:dyDescent="0.2">
      <c r="A536" s="1" t="s">
        <v>85</v>
      </c>
      <c r="B536" s="1" t="s">
        <v>12</v>
      </c>
      <c r="C536" s="2">
        <v>41155</v>
      </c>
      <c r="D536" s="1">
        <v>10</v>
      </c>
      <c r="E536" s="1" t="s">
        <v>52</v>
      </c>
      <c r="I536" s="1" t="s">
        <v>12</v>
      </c>
      <c r="J536" s="1" t="s">
        <v>86</v>
      </c>
      <c r="K536" s="1" t="s">
        <v>14</v>
      </c>
      <c r="L536" s="1" t="s">
        <v>12</v>
      </c>
      <c r="M536" s="1" t="s">
        <v>12</v>
      </c>
      <c r="N536" s="1">
        <v>15.06</v>
      </c>
      <c r="O536" s="1" t="s">
        <v>32</v>
      </c>
      <c r="P536" s="1" t="s">
        <v>28</v>
      </c>
      <c r="Q536" s="1" t="s">
        <v>16</v>
      </c>
      <c r="R536" s="1" t="str">
        <f>IF(N536="","",VLOOKUP(N536,Prior_levels,2,TRUE))</f>
        <v>L</v>
      </c>
    </row>
    <row r="537" spans="1:18" x14ac:dyDescent="0.2">
      <c r="A537" s="1" t="s">
        <v>85</v>
      </c>
      <c r="B537" s="1" t="s">
        <v>12</v>
      </c>
      <c r="C537" s="2">
        <v>41155</v>
      </c>
      <c r="D537" s="1">
        <v>10</v>
      </c>
      <c r="E537" s="1" t="s">
        <v>52</v>
      </c>
      <c r="I537" s="1" t="s">
        <v>12</v>
      </c>
      <c r="J537" s="1" t="s">
        <v>86</v>
      </c>
      <c r="K537" s="1" t="s">
        <v>14</v>
      </c>
      <c r="L537" s="1" t="s">
        <v>12</v>
      </c>
      <c r="M537" s="1" t="s">
        <v>12</v>
      </c>
      <c r="N537" s="1">
        <v>15.06</v>
      </c>
      <c r="O537" s="1" t="s">
        <v>27</v>
      </c>
      <c r="P537" s="1" t="s">
        <v>28</v>
      </c>
      <c r="Q537" s="1" t="s">
        <v>16</v>
      </c>
      <c r="R537" s="1" t="str">
        <f>IF(N537="","",VLOOKUP(N537,Prior_levels,2,TRUE))</f>
        <v>L</v>
      </c>
    </row>
    <row r="538" spans="1:18" x14ac:dyDescent="0.2">
      <c r="A538" s="1" t="s">
        <v>85</v>
      </c>
      <c r="B538" s="1" t="s">
        <v>12</v>
      </c>
      <c r="C538" s="2">
        <v>41155</v>
      </c>
      <c r="D538" s="1">
        <v>10</v>
      </c>
      <c r="E538" s="1" t="s">
        <v>52</v>
      </c>
      <c r="I538" s="1" t="s">
        <v>12</v>
      </c>
      <c r="J538" s="1" t="s">
        <v>86</v>
      </c>
      <c r="K538" s="1" t="s">
        <v>14</v>
      </c>
      <c r="L538" s="1" t="s">
        <v>12</v>
      </c>
      <c r="M538" s="1" t="s">
        <v>12</v>
      </c>
      <c r="N538" s="1">
        <v>15.06</v>
      </c>
      <c r="O538" s="1" t="s">
        <v>29</v>
      </c>
      <c r="P538" s="1" t="s">
        <v>28</v>
      </c>
      <c r="Q538" s="1" t="s">
        <v>16</v>
      </c>
      <c r="R538" s="1" t="str">
        <f>IF(N538="","",VLOOKUP(N538,Prior_levels,2,TRUE))</f>
        <v>L</v>
      </c>
    </row>
    <row r="539" spans="1:18" x14ac:dyDescent="0.2">
      <c r="A539" s="1" t="s">
        <v>85</v>
      </c>
      <c r="B539" s="1" t="s">
        <v>12</v>
      </c>
      <c r="C539" s="2">
        <v>41155</v>
      </c>
      <c r="D539" s="1">
        <v>10</v>
      </c>
      <c r="E539" s="1" t="s">
        <v>52</v>
      </c>
      <c r="I539" s="1" t="s">
        <v>12</v>
      </c>
      <c r="J539" s="1" t="s">
        <v>86</v>
      </c>
      <c r="K539" s="1" t="s">
        <v>14</v>
      </c>
      <c r="L539" s="1" t="s">
        <v>12</v>
      </c>
      <c r="M539" s="1" t="s">
        <v>12</v>
      </c>
      <c r="N539" s="1">
        <v>15.06</v>
      </c>
      <c r="O539" s="1" t="s">
        <v>30</v>
      </c>
      <c r="P539" s="1" t="s">
        <v>28</v>
      </c>
      <c r="Q539" s="1" t="s">
        <v>16</v>
      </c>
      <c r="R539" s="1" t="str">
        <f>IF(N539="","",VLOOKUP(N539,Prior_levels,2,TRUE))</f>
        <v>L</v>
      </c>
    </row>
    <row r="540" spans="1:18" x14ac:dyDescent="0.2">
      <c r="A540" s="1" t="s">
        <v>85</v>
      </c>
      <c r="B540" s="1" t="s">
        <v>12</v>
      </c>
      <c r="C540" s="2">
        <v>41155</v>
      </c>
      <c r="D540" s="1">
        <v>10</v>
      </c>
      <c r="E540" s="1" t="s">
        <v>52</v>
      </c>
      <c r="I540" s="1" t="s">
        <v>12</v>
      </c>
      <c r="J540" s="1" t="s">
        <v>86</v>
      </c>
      <c r="K540" s="1" t="s">
        <v>14</v>
      </c>
      <c r="L540" s="1" t="s">
        <v>12</v>
      </c>
      <c r="M540" s="1" t="s">
        <v>12</v>
      </c>
      <c r="N540" s="1">
        <v>15.06</v>
      </c>
      <c r="O540" s="1" t="s">
        <v>31</v>
      </c>
      <c r="P540" s="1" t="s">
        <v>28</v>
      </c>
      <c r="Q540" s="1" t="s">
        <v>16</v>
      </c>
      <c r="R540" s="1" t="str">
        <f>IF(N540="","",VLOOKUP(N540,Prior_levels,2,TRUE))</f>
        <v>L</v>
      </c>
    </row>
    <row r="541" spans="1:18" x14ac:dyDescent="0.2">
      <c r="A541" s="1" t="s">
        <v>87</v>
      </c>
      <c r="B541" s="1" t="s">
        <v>12</v>
      </c>
      <c r="C541" s="2">
        <v>41155</v>
      </c>
      <c r="D541" s="1">
        <v>10</v>
      </c>
      <c r="E541" s="1" t="s">
        <v>47</v>
      </c>
      <c r="I541" s="1" t="s">
        <v>12</v>
      </c>
      <c r="J541" s="1" t="s">
        <v>40</v>
      </c>
      <c r="K541" s="1" t="s">
        <v>14</v>
      </c>
      <c r="L541" s="1" t="s">
        <v>12</v>
      </c>
      <c r="M541" s="1" t="s">
        <v>12</v>
      </c>
      <c r="N541" s="1">
        <v>21.12</v>
      </c>
      <c r="O541" s="1" t="s">
        <v>15</v>
      </c>
      <c r="P541" s="1">
        <v>2.15</v>
      </c>
      <c r="Q541" s="1" t="s">
        <v>16</v>
      </c>
      <c r="R541" s="1" t="str">
        <f>IF(N541="","",VLOOKUP(N541,Prior_levels,2,TRUE))</f>
        <v>L</v>
      </c>
    </row>
    <row r="542" spans="1:18" x14ac:dyDescent="0.2">
      <c r="A542" s="1" t="s">
        <v>87</v>
      </c>
      <c r="B542" s="1" t="s">
        <v>12</v>
      </c>
      <c r="C542" s="2">
        <v>41155</v>
      </c>
      <c r="D542" s="1">
        <v>10</v>
      </c>
      <c r="E542" s="1" t="s">
        <v>47</v>
      </c>
      <c r="I542" s="1" t="s">
        <v>12</v>
      </c>
      <c r="J542" s="1" t="s">
        <v>40</v>
      </c>
      <c r="K542" s="1" t="s">
        <v>14</v>
      </c>
      <c r="L542" s="1" t="s">
        <v>12</v>
      </c>
      <c r="M542" s="1" t="s">
        <v>12</v>
      </c>
      <c r="N542" s="1">
        <v>21.12</v>
      </c>
      <c r="O542" s="1" t="s">
        <v>17</v>
      </c>
      <c r="P542" s="1">
        <v>-0.68</v>
      </c>
      <c r="Q542" s="1" t="s">
        <v>16</v>
      </c>
      <c r="R542" s="1" t="str">
        <f>IF(N542="","",VLOOKUP(N542,Prior_levels,2,TRUE))</f>
        <v>L</v>
      </c>
    </row>
    <row r="543" spans="1:18" x14ac:dyDescent="0.2">
      <c r="A543" s="1" t="s">
        <v>87</v>
      </c>
      <c r="B543" s="1" t="s">
        <v>12</v>
      </c>
      <c r="C543" s="2">
        <v>41155</v>
      </c>
      <c r="D543" s="1">
        <v>10</v>
      </c>
      <c r="E543" s="1" t="s">
        <v>47</v>
      </c>
      <c r="I543" s="1" t="s">
        <v>12</v>
      </c>
      <c r="J543" s="1" t="s">
        <v>40</v>
      </c>
      <c r="K543" s="1" t="s">
        <v>14</v>
      </c>
      <c r="L543" s="1" t="s">
        <v>12</v>
      </c>
      <c r="M543" s="1" t="s">
        <v>12</v>
      </c>
      <c r="N543" s="1">
        <v>21.12</v>
      </c>
      <c r="O543" s="1" t="s">
        <v>18</v>
      </c>
      <c r="P543" s="1">
        <v>4</v>
      </c>
      <c r="Q543" s="1" t="s">
        <v>16</v>
      </c>
      <c r="R543" s="1" t="str">
        <f>IF(N543="","",VLOOKUP(N543,Prior_levels,2,TRUE))</f>
        <v>L</v>
      </c>
    </row>
    <row r="544" spans="1:18" x14ac:dyDescent="0.2">
      <c r="A544" s="1" t="s">
        <v>87</v>
      </c>
      <c r="B544" s="1" t="s">
        <v>12</v>
      </c>
      <c r="C544" s="2">
        <v>41155</v>
      </c>
      <c r="D544" s="1">
        <v>10</v>
      </c>
      <c r="E544" s="1" t="s">
        <v>47</v>
      </c>
      <c r="I544" s="1" t="s">
        <v>12</v>
      </c>
      <c r="J544" s="1" t="s">
        <v>40</v>
      </c>
      <c r="K544" s="1" t="s">
        <v>14</v>
      </c>
      <c r="L544" s="1" t="s">
        <v>12</v>
      </c>
      <c r="M544" s="1" t="s">
        <v>12</v>
      </c>
      <c r="N544" s="1">
        <v>21.12</v>
      </c>
      <c r="O544" s="1" t="s">
        <v>19</v>
      </c>
      <c r="P544" s="1">
        <v>6</v>
      </c>
      <c r="Q544" s="1" t="s">
        <v>16</v>
      </c>
      <c r="R544" s="1" t="str">
        <f>IF(N544="","",VLOOKUP(N544,Prior_levels,2,TRUE))</f>
        <v>L</v>
      </c>
    </row>
    <row r="545" spans="1:18" x14ac:dyDescent="0.2">
      <c r="A545" s="1" t="s">
        <v>87</v>
      </c>
      <c r="B545" s="1" t="s">
        <v>12</v>
      </c>
      <c r="C545" s="2">
        <v>41155</v>
      </c>
      <c r="D545" s="1">
        <v>10</v>
      </c>
      <c r="E545" s="1" t="s">
        <v>47</v>
      </c>
      <c r="I545" s="1" t="s">
        <v>12</v>
      </c>
      <c r="J545" s="1" t="s">
        <v>40</v>
      </c>
      <c r="K545" s="1" t="s">
        <v>14</v>
      </c>
      <c r="L545" s="1" t="s">
        <v>12</v>
      </c>
      <c r="M545" s="1" t="s">
        <v>12</v>
      </c>
      <c r="N545" s="1">
        <v>21.12</v>
      </c>
      <c r="O545" s="1" t="s">
        <v>20</v>
      </c>
      <c r="P545" s="1">
        <v>5.5</v>
      </c>
      <c r="Q545" s="1" t="s">
        <v>16</v>
      </c>
      <c r="R545" s="1" t="str">
        <f>IF(N545="","",VLOOKUP(N545,Prior_levels,2,TRUE))</f>
        <v>L</v>
      </c>
    </row>
    <row r="546" spans="1:18" x14ac:dyDescent="0.2">
      <c r="A546" s="1" t="s">
        <v>87</v>
      </c>
      <c r="B546" s="1" t="s">
        <v>12</v>
      </c>
      <c r="C546" s="2">
        <v>41155</v>
      </c>
      <c r="D546" s="1">
        <v>10</v>
      </c>
      <c r="E546" s="1" t="s">
        <v>47</v>
      </c>
      <c r="I546" s="1" t="s">
        <v>12</v>
      </c>
      <c r="J546" s="1" t="s">
        <v>40</v>
      </c>
      <c r="K546" s="1" t="s">
        <v>14</v>
      </c>
      <c r="L546" s="1" t="s">
        <v>12</v>
      </c>
      <c r="M546" s="1" t="s">
        <v>12</v>
      </c>
      <c r="N546" s="1">
        <v>21.12</v>
      </c>
      <c r="O546" s="1" t="s">
        <v>21</v>
      </c>
      <c r="P546" s="1">
        <v>6</v>
      </c>
      <c r="Q546" s="1" t="s">
        <v>16</v>
      </c>
      <c r="R546" s="1" t="str">
        <f>IF(N546="","",VLOOKUP(N546,Prior_levels,2,TRUE))</f>
        <v>L</v>
      </c>
    </row>
    <row r="547" spans="1:18" x14ac:dyDescent="0.2">
      <c r="A547" s="1" t="s">
        <v>87</v>
      </c>
      <c r="B547" s="1" t="s">
        <v>12</v>
      </c>
      <c r="C547" s="2">
        <v>41155</v>
      </c>
      <c r="D547" s="1">
        <v>10</v>
      </c>
      <c r="E547" s="1" t="s">
        <v>47</v>
      </c>
      <c r="I547" s="1" t="s">
        <v>12</v>
      </c>
      <c r="J547" s="1" t="s">
        <v>40</v>
      </c>
      <c r="K547" s="1" t="s">
        <v>14</v>
      </c>
      <c r="L547" s="1" t="s">
        <v>12</v>
      </c>
      <c r="M547" s="1" t="s">
        <v>12</v>
      </c>
      <c r="N547" s="1">
        <v>21.12</v>
      </c>
      <c r="O547" s="1" t="s">
        <v>22</v>
      </c>
      <c r="P547" s="1">
        <v>-1.66</v>
      </c>
      <c r="Q547" s="1" t="s">
        <v>16</v>
      </c>
      <c r="R547" s="1" t="str">
        <f>IF(N547="","",VLOOKUP(N547,Prior_levels,2,TRUE))</f>
        <v>L</v>
      </c>
    </row>
    <row r="548" spans="1:18" x14ac:dyDescent="0.2">
      <c r="A548" s="1" t="s">
        <v>87</v>
      </c>
      <c r="B548" s="1" t="s">
        <v>12</v>
      </c>
      <c r="C548" s="2">
        <v>41155</v>
      </c>
      <c r="D548" s="1">
        <v>10</v>
      </c>
      <c r="E548" s="1" t="s">
        <v>47</v>
      </c>
      <c r="I548" s="1" t="s">
        <v>12</v>
      </c>
      <c r="J548" s="1" t="s">
        <v>40</v>
      </c>
      <c r="K548" s="1" t="s">
        <v>14</v>
      </c>
      <c r="L548" s="1" t="s">
        <v>12</v>
      </c>
      <c r="M548" s="1" t="s">
        <v>12</v>
      </c>
      <c r="N548" s="1">
        <v>21.12</v>
      </c>
      <c r="O548" s="1" t="s">
        <v>23</v>
      </c>
      <c r="P548" s="1">
        <v>0.39</v>
      </c>
      <c r="Q548" s="1" t="s">
        <v>16</v>
      </c>
      <c r="R548" s="1" t="str">
        <f>IF(N548="","",VLOOKUP(N548,Prior_levels,2,TRUE))</f>
        <v>L</v>
      </c>
    </row>
    <row r="549" spans="1:18" x14ac:dyDescent="0.2">
      <c r="A549" s="1" t="s">
        <v>87</v>
      </c>
      <c r="B549" s="1" t="s">
        <v>12</v>
      </c>
      <c r="C549" s="2">
        <v>41155</v>
      </c>
      <c r="D549" s="1">
        <v>10</v>
      </c>
      <c r="E549" s="1" t="s">
        <v>47</v>
      </c>
      <c r="I549" s="1" t="s">
        <v>12</v>
      </c>
      <c r="J549" s="1" t="s">
        <v>40</v>
      </c>
      <c r="K549" s="1" t="s">
        <v>14</v>
      </c>
      <c r="L549" s="1" t="s">
        <v>12</v>
      </c>
      <c r="M549" s="1" t="s">
        <v>12</v>
      </c>
      <c r="N549" s="1">
        <v>21.12</v>
      </c>
      <c r="O549" s="1" t="s">
        <v>24</v>
      </c>
      <c r="P549" s="1">
        <v>0.99</v>
      </c>
      <c r="Q549" s="1" t="s">
        <v>16</v>
      </c>
      <c r="R549" s="1" t="str">
        <f>IF(N549="","",VLOOKUP(N549,Prior_levels,2,TRUE))</f>
        <v>L</v>
      </c>
    </row>
    <row r="550" spans="1:18" x14ac:dyDescent="0.2">
      <c r="A550" s="1" t="s">
        <v>87</v>
      </c>
      <c r="B550" s="1" t="s">
        <v>12</v>
      </c>
      <c r="C550" s="2">
        <v>41155</v>
      </c>
      <c r="D550" s="1">
        <v>10</v>
      </c>
      <c r="E550" s="1" t="s">
        <v>47</v>
      </c>
      <c r="I550" s="1" t="s">
        <v>12</v>
      </c>
      <c r="J550" s="1" t="s">
        <v>40</v>
      </c>
      <c r="K550" s="1" t="s">
        <v>14</v>
      </c>
      <c r="L550" s="1" t="s">
        <v>12</v>
      </c>
      <c r="M550" s="1" t="s">
        <v>12</v>
      </c>
      <c r="N550" s="1">
        <v>21.12</v>
      </c>
      <c r="O550" s="1" t="s">
        <v>25</v>
      </c>
      <c r="P550" s="1">
        <v>-5.2</v>
      </c>
      <c r="Q550" s="1" t="s">
        <v>16</v>
      </c>
      <c r="R550" s="1" t="str">
        <f>IF(N550="","",VLOOKUP(N550,Prior_levels,2,TRUE))</f>
        <v>L</v>
      </c>
    </row>
    <row r="551" spans="1:18" x14ac:dyDescent="0.2">
      <c r="A551" s="1" t="s">
        <v>87</v>
      </c>
      <c r="B551" s="1" t="s">
        <v>12</v>
      </c>
      <c r="C551" s="2">
        <v>41155</v>
      </c>
      <c r="D551" s="1">
        <v>10</v>
      </c>
      <c r="E551" s="1" t="s">
        <v>47</v>
      </c>
      <c r="I551" s="1" t="s">
        <v>12</v>
      </c>
      <c r="J551" s="1" t="s">
        <v>40</v>
      </c>
      <c r="K551" s="1" t="s">
        <v>14</v>
      </c>
      <c r="L551" s="1" t="s">
        <v>12</v>
      </c>
      <c r="M551" s="1" t="s">
        <v>12</v>
      </c>
      <c r="N551" s="1">
        <v>21.12</v>
      </c>
      <c r="O551" s="1" t="s">
        <v>26</v>
      </c>
      <c r="P551" s="1">
        <v>0</v>
      </c>
      <c r="Q551" s="1" t="s">
        <v>16</v>
      </c>
      <c r="R551" s="1" t="str">
        <f>IF(N551="","",VLOOKUP(N551,Prior_levels,2,TRUE))</f>
        <v>L</v>
      </c>
    </row>
    <row r="552" spans="1:18" x14ac:dyDescent="0.2">
      <c r="A552" s="1" t="s">
        <v>87</v>
      </c>
      <c r="B552" s="1" t="s">
        <v>12</v>
      </c>
      <c r="C552" s="2">
        <v>41155</v>
      </c>
      <c r="D552" s="1">
        <v>10</v>
      </c>
      <c r="E552" s="1" t="s">
        <v>47</v>
      </c>
      <c r="I552" s="1" t="s">
        <v>12</v>
      </c>
      <c r="J552" s="1" t="s">
        <v>40</v>
      </c>
      <c r="K552" s="1" t="s">
        <v>14</v>
      </c>
      <c r="L552" s="1" t="s">
        <v>12</v>
      </c>
      <c r="M552" s="1" t="s">
        <v>12</v>
      </c>
      <c r="N552" s="1">
        <v>21.12</v>
      </c>
      <c r="O552" s="1" t="s">
        <v>32</v>
      </c>
      <c r="P552" s="1" t="s">
        <v>28</v>
      </c>
      <c r="Q552" s="1" t="s">
        <v>16</v>
      </c>
      <c r="R552" s="1" t="str">
        <f>IF(N552="","",VLOOKUP(N552,Prior_levels,2,TRUE))</f>
        <v>L</v>
      </c>
    </row>
    <row r="553" spans="1:18" x14ac:dyDescent="0.2">
      <c r="A553" s="1" t="s">
        <v>87</v>
      </c>
      <c r="B553" s="1" t="s">
        <v>12</v>
      </c>
      <c r="C553" s="2">
        <v>41155</v>
      </c>
      <c r="D553" s="1">
        <v>10</v>
      </c>
      <c r="E553" s="1" t="s">
        <v>47</v>
      </c>
      <c r="I553" s="1" t="s">
        <v>12</v>
      </c>
      <c r="J553" s="1" t="s">
        <v>40</v>
      </c>
      <c r="K553" s="1" t="s">
        <v>14</v>
      </c>
      <c r="L553" s="1" t="s">
        <v>12</v>
      </c>
      <c r="M553" s="1" t="s">
        <v>12</v>
      </c>
      <c r="N553" s="1">
        <v>21.12</v>
      </c>
      <c r="O553" s="1" t="s">
        <v>27</v>
      </c>
      <c r="P553" s="1" t="s">
        <v>28</v>
      </c>
      <c r="Q553" s="1" t="s">
        <v>16</v>
      </c>
      <c r="R553" s="1" t="str">
        <f>IF(N553="","",VLOOKUP(N553,Prior_levels,2,TRUE))</f>
        <v>L</v>
      </c>
    </row>
    <row r="554" spans="1:18" x14ac:dyDescent="0.2">
      <c r="A554" s="1" t="s">
        <v>87</v>
      </c>
      <c r="B554" s="1" t="s">
        <v>12</v>
      </c>
      <c r="C554" s="2">
        <v>41155</v>
      </c>
      <c r="D554" s="1">
        <v>10</v>
      </c>
      <c r="E554" s="1" t="s">
        <v>47</v>
      </c>
      <c r="I554" s="1" t="s">
        <v>12</v>
      </c>
      <c r="J554" s="1" t="s">
        <v>40</v>
      </c>
      <c r="K554" s="1" t="s">
        <v>14</v>
      </c>
      <c r="L554" s="1" t="s">
        <v>12</v>
      </c>
      <c r="M554" s="1" t="s">
        <v>12</v>
      </c>
      <c r="N554" s="1">
        <v>21.12</v>
      </c>
      <c r="O554" s="1" t="s">
        <v>29</v>
      </c>
      <c r="P554" s="1" t="s">
        <v>28</v>
      </c>
      <c r="Q554" s="1" t="s">
        <v>16</v>
      </c>
      <c r="R554" s="1" t="str">
        <f>IF(N554="","",VLOOKUP(N554,Prior_levels,2,TRUE))</f>
        <v>L</v>
      </c>
    </row>
    <row r="555" spans="1:18" x14ac:dyDescent="0.2">
      <c r="A555" s="1" t="s">
        <v>87</v>
      </c>
      <c r="B555" s="1" t="s">
        <v>12</v>
      </c>
      <c r="C555" s="2">
        <v>41155</v>
      </c>
      <c r="D555" s="1">
        <v>10</v>
      </c>
      <c r="E555" s="1" t="s">
        <v>47</v>
      </c>
      <c r="I555" s="1" t="s">
        <v>12</v>
      </c>
      <c r="J555" s="1" t="s">
        <v>40</v>
      </c>
      <c r="K555" s="1" t="s">
        <v>14</v>
      </c>
      <c r="L555" s="1" t="s">
        <v>12</v>
      </c>
      <c r="M555" s="1" t="s">
        <v>12</v>
      </c>
      <c r="N555" s="1">
        <v>21.12</v>
      </c>
      <c r="O555" s="1" t="s">
        <v>30</v>
      </c>
      <c r="P555" s="1" t="s">
        <v>28</v>
      </c>
      <c r="Q555" s="1" t="s">
        <v>16</v>
      </c>
      <c r="R555" s="1" t="str">
        <f>IF(N555="","",VLOOKUP(N555,Prior_levels,2,TRUE))</f>
        <v>L</v>
      </c>
    </row>
    <row r="556" spans="1:18" x14ac:dyDescent="0.2">
      <c r="A556" s="1" t="s">
        <v>87</v>
      </c>
      <c r="B556" s="1" t="s">
        <v>12</v>
      </c>
      <c r="C556" s="2">
        <v>41155</v>
      </c>
      <c r="D556" s="1">
        <v>10</v>
      </c>
      <c r="E556" s="1" t="s">
        <v>47</v>
      </c>
      <c r="I556" s="1" t="s">
        <v>12</v>
      </c>
      <c r="J556" s="1" t="s">
        <v>40</v>
      </c>
      <c r="K556" s="1" t="s">
        <v>14</v>
      </c>
      <c r="L556" s="1" t="s">
        <v>12</v>
      </c>
      <c r="M556" s="1" t="s">
        <v>12</v>
      </c>
      <c r="N556" s="1">
        <v>21.12</v>
      </c>
      <c r="O556" s="1" t="s">
        <v>31</v>
      </c>
      <c r="P556" s="1" t="s">
        <v>28</v>
      </c>
      <c r="Q556" s="1" t="s">
        <v>16</v>
      </c>
      <c r="R556" s="1" t="str">
        <f>IF(N556="","",VLOOKUP(N556,Prior_levels,2,TRUE))</f>
        <v>L</v>
      </c>
    </row>
    <row r="557" spans="1:18" x14ac:dyDescent="0.2">
      <c r="A557" s="1" t="s">
        <v>88</v>
      </c>
      <c r="B557" s="1" t="s">
        <v>12</v>
      </c>
      <c r="C557" s="2">
        <v>41155</v>
      </c>
      <c r="D557" s="1">
        <v>10</v>
      </c>
      <c r="E557" s="1" t="s">
        <v>39</v>
      </c>
      <c r="H557" s="1" t="s">
        <v>48</v>
      </c>
      <c r="I557" s="1" t="s">
        <v>12</v>
      </c>
      <c r="J557" s="1" t="s">
        <v>40</v>
      </c>
      <c r="K557" s="1" t="s">
        <v>14</v>
      </c>
      <c r="L557" s="1" t="s">
        <v>35</v>
      </c>
      <c r="M557" s="1" t="s">
        <v>35</v>
      </c>
      <c r="N557" s="1">
        <v>27.12</v>
      </c>
      <c r="O557" s="1" t="s">
        <v>15</v>
      </c>
      <c r="P557" s="1">
        <v>3.6</v>
      </c>
      <c r="Q557" s="1" t="s">
        <v>16</v>
      </c>
      <c r="R557" s="1" t="str">
        <f>IF(N557="","",VLOOKUP(N557,Prior_levels,2,TRUE))</f>
        <v>M</v>
      </c>
    </row>
    <row r="558" spans="1:18" x14ac:dyDescent="0.2">
      <c r="A558" s="1" t="s">
        <v>88</v>
      </c>
      <c r="B558" s="1" t="s">
        <v>12</v>
      </c>
      <c r="C558" s="2">
        <v>41155</v>
      </c>
      <c r="D558" s="1">
        <v>10</v>
      </c>
      <c r="E558" s="1" t="s">
        <v>39</v>
      </c>
      <c r="H558" s="1" t="s">
        <v>48</v>
      </c>
      <c r="I558" s="1" t="s">
        <v>12</v>
      </c>
      <c r="J558" s="1" t="s">
        <v>40</v>
      </c>
      <c r="K558" s="1" t="s">
        <v>14</v>
      </c>
      <c r="L558" s="1" t="s">
        <v>35</v>
      </c>
      <c r="M558" s="1" t="s">
        <v>35</v>
      </c>
      <c r="N558" s="1">
        <v>27.12</v>
      </c>
      <c r="O558" s="1" t="s">
        <v>17</v>
      </c>
      <c r="P558" s="1">
        <v>-0.95</v>
      </c>
      <c r="Q558" s="1" t="s">
        <v>16</v>
      </c>
      <c r="R558" s="1" t="str">
        <f>IF(N558="","",VLOOKUP(N558,Prior_levels,2,TRUE))</f>
        <v>M</v>
      </c>
    </row>
    <row r="559" spans="1:18" x14ac:dyDescent="0.2">
      <c r="A559" s="1" t="s">
        <v>88</v>
      </c>
      <c r="B559" s="1" t="s">
        <v>12</v>
      </c>
      <c r="C559" s="2">
        <v>41155</v>
      </c>
      <c r="D559" s="1">
        <v>10</v>
      </c>
      <c r="E559" s="1" t="s">
        <v>39</v>
      </c>
      <c r="H559" s="1" t="s">
        <v>48</v>
      </c>
      <c r="I559" s="1" t="s">
        <v>12</v>
      </c>
      <c r="J559" s="1" t="s">
        <v>40</v>
      </c>
      <c r="K559" s="1" t="s">
        <v>14</v>
      </c>
      <c r="L559" s="1" t="s">
        <v>35</v>
      </c>
      <c r="M559" s="1" t="s">
        <v>35</v>
      </c>
      <c r="N559" s="1">
        <v>27.12</v>
      </c>
      <c r="O559" s="1" t="s">
        <v>18</v>
      </c>
      <c r="P559" s="1">
        <v>8</v>
      </c>
      <c r="Q559" s="1" t="s">
        <v>16</v>
      </c>
      <c r="R559" s="1" t="str">
        <f>IF(N559="","",VLOOKUP(N559,Prior_levels,2,TRUE))</f>
        <v>M</v>
      </c>
    </row>
    <row r="560" spans="1:18" x14ac:dyDescent="0.2">
      <c r="A560" s="1" t="s">
        <v>88</v>
      </c>
      <c r="B560" s="1" t="s">
        <v>12</v>
      </c>
      <c r="C560" s="2">
        <v>41155</v>
      </c>
      <c r="D560" s="1">
        <v>10</v>
      </c>
      <c r="E560" s="1" t="s">
        <v>39</v>
      </c>
      <c r="H560" s="1" t="s">
        <v>48</v>
      </c>
      <c r="I560" s="1" t="s">
        <v>12</v>
      </c>
      <c r="J560" s="1" t="s">
        <v>40</v>
      </c>
      <c r="K560" s="1" t="s">
        <v>14</v>
      </c>
      <c r="L560" s="1" t="s">
        <v>35</v>
      </c>
      <c r="M560" s="1" t="s">
        <v>35</v>
      </c>
      <c r="N560" s="1">
        <v>27.12</v>
      </c>
      <c r="O560" s="1" t="s">
        <v>19</v>
      </c>
      <c r="P560" s="1">
        <v>8</v>
      </c>
      <c r="Q560" s="1" t="s">
        <v>16</v>
      </c>
      <c r="R560" s="1" t="str">
        <f>IF(N560="","",VLOOKUP(N560,Prior_levels,2,TRUE))</f>
        <v>M</v>
      </c>
    </row>
    <row r="561" spans="1:18" x14ac:dyDescent="0.2">
      <c r="A561" s="1" t="s">
        <v>88</v>
      </c>
      <c r="B561" s="1" t="s">
        <v>12</v>
      </c>
      <c r="C561" s="2">
        <v>41155</v>
      </c>
      <c r="D561" s="1">
        <v>10</v>
      </c>
      <c r="E561" s="1" t="s">
        <v>39</v>
      </c>
      <c r="H561" s="1" t="s">
        <v>48</v>
      </c>
      <c r="I561" s="1" t="s">
        <v>12</v>
      </c>
      <c r="J561" s="1" t="s">
        <v>40</v>
      </c>
      <c r="K561" s="1" t="s">
        <v>14</v>
      </c>
      <c r="L561" s="1" t="s">
        <v>35</v>
      </c>
      <c r="M561" s="1" t="s">
        <v>35</v>
      </c>
      <c r="N561" s="1">
        <v>27.12</v>
      </c>
      <c r="O561" s="1" t="s">
        <v>20</v>
      </c>
      <c r="P561" s="1">
        <v>10</v>
      </c>
      <c r="Q561" s="1" t="s">
        <v>16</v>
      </c>
      <c r="R561" s="1" t="str">
        <f>IF(N561="","",VLOOKUP(N561,Prior_levels,2,TRUE))</f>
        <v>M</v>
      </c>
    </row>
    <row r="562" spans="1:18" x14ac:dyDescent="0.2">
      <c r="A562" s="1" t="s">
        <v>88</v>
      </c>
      <c r="B562" s="1" t="s">
        <v>12</v>
      </c>
      <c r="C562" s="2">
        <v>41155</v>
      </c>
      <c r="D562" s="1">
        <v>10</v>
      </c>
      <c r="E562" s="1" t="s">
        <v>39</v>
      </c>
      <c r="H562" s="1" t="s">
        <v>48</v>
      </c>
      <c r="I562" s="1" t="s">
        <v>12</v>
      </c>
      <c r="J562" s="1" t="s">
        <v>40</v>
      </c>
      <c r="K562" s="1" t="s">
        <v>14</v>
      </c>
      <c r="L562" s="1" t="s">
        <v>35</v>
      </c>
      <c r="M562" s="1" t="s">
        <v>35</v>
      </c>
      <c r="N562" s="1">
        <v>27.12</v>
      </c>
      <c r="O562" s="1" t="s">
        <v>21</v>
      </c>
      <c r="P562" s="1">
        <v>10</v>
      </c>
      <c r="Q562" s="1" t="s">
        <v>16</v>
      </c>
      <c r="R562" s="1" t="str">
        <f>IF(N562="","",VLOOKUP(N562,Prior_levels,2,TRUE))</f>
        <v>M</v>
      </c>
    </row>
    <row r="563" spans="1:18" x14ac:dyDescent="0.2">
      <c r="A563" s="1" t="s">
        <v>88</v>
      </c>
      <c r="B563" s="1" t="s">
        <v>12</v>
      </c>
      <c r="C563" s="2">
        <v>41155</v>
      </c>
      <c r="D563" s="1">
        <v>10</v>
      </c>
      <c r="E563" s="1" t="s">
        <v>39</v>
      </c>
      <c r="H563" s="1" t="s">
        <v>48</v>
      </c>
      <c r="I563" s="1" t="s">
        <v>12</v>
      </c>
      <c r="J563" s="1" t="s">
        <v>40</v>
      </c>
      <c r="K563" s="1" t="s">
        <v>14</v>
      </c>
      <c r="L563" s="1" t="s">
        <v>35</v>
      </c>
      <c r="M563" s="1" t="s">
        <v>35</v>
      </c>
      <c r="N563" s="1">
        <v>27.12</v>
      </c>
      <c r="O563" s="1" t="s">
        <v>22</v>
      </c>
      <c r="P563" s="1">
        <v>-1.05</v>
      </c>
      <c r="Q563" s="1" t="s">
        <v>16</v>
      </c>
      <c r="R563" s="1" t="str">
        <f>IF(N563="","",VLOOKUP(N563,Prior_levels,2,TRUE))</f>
        <v>M</v>
      </c>
    </row>
    <row r="564" spans="1:18" x14ac:dyDescent="0.2">
      <c r="A564" s="1" t="s">
        <v>88</v>
      </c>
      <c r="B564" s="1" t="s">
        <v>12</v>
      </c>
      <c r="C564" s="2">
        <v>41155</v>
      </c>
      <c r="D564" s="1">
        <v>10</v>
      </c>
      <c r="E564" s="1" t="s">
        <v>39</v>
      </c>
      <c r="H564" s="1" t="s">
        <v>48</v>
      </c>
      <c r="I564" s="1" t="s">
        <v>12</v>
      </c>
      <c r="J564" s="1" t="s">
        <v>40</v>
      </c>
      <c r="K564" s="1" t="s">
        <v>14</v>
      </c>
      <c r="L564" s="1" t="s">
        <v>35</v>
      </c>
      <c r="M564" s="1" t="s">
        <v>35</v>
      </c>
      <c r="N564" s="1">
        <v>27.12</v>
      </c>
      <c r="O564" s="1" t="s">
        <v>23</v>
      </c>
      <c r="P564" s="1">
        <v>-0.64</v>
      </c>
      <c r="Q564" s="1" t="s">
        <v>16</v>
      </c>
      <c r="R564" s="1" t="str">
        <f>IF(N564="","",VLOOKUP(N564,Prior_levels,2,TRUE))</f>
        <v>M</v>
      </c>
    </row>
    <row r="565" spans="1:18" x14ac:dyDescent="0.2">
      <c r="A565" s="1" t="s">
        <v>88</v>
      </c>
      <c r="B565" s="1" t="s">
        <v>12</v>
      </c>
      <c r="C565" s="2">
        <v>41155</v>
      </c>
      <c r="D565" s="1">
        <v>10</v>
      </c>
      <c r="E565" s="1" t="s">
        <v>39</v>
      </c>
      <c r="H565" s="1" t="s">
        <v>48</v>
      </c>
      <c r="I565" s="1" t="s">
        <v>12</v>
      </c>
      <c r="J565" s="1" t="s">
        <v>40</v>
      </c>
      <c r="K565" s="1" t="s">
        <v>14</v>
      </c>
      <c r="L565" s="1" t="s">
        <v>35</v>
      </c>
      <c r="M565" s="1" t="s">
        <v>35</v>
      </c>
      <c r="N565" s="1">
        <v>27.12</v>
      </c>
      <c r="O565" s="1" t="s">
        <v>24</v>
      </c>
      <c r="P565" s="1">
        <v>-1.25</v>
      </c>
      <c r="Q565" s="1" t="s">
        <v>16</v>
      </c>
      <c r="R565" s="1" t="str">
        <f>IF(N565="","",VLOOKUP(N565,Prior_levels,2,TRUE))</f>
        <v>M</v>
      </c>
    </row>
    <row r="566" spans="1:18" x14ac:dyDescent="0.2">
      <c r="A566" s="1" t="s">
        <v>88</v>
      </c>
      <c r="B566" s="1" t="s">
        <v>12</v>
      </c>
      <c r="C566" s="2">
        <v>41155</v>
      </c>
      <c r="D566" s="1">
        <v>10</v>
      </c>
      <c r="E566" s="1" t="s">
        <v>39</v>
      </c>
      <c r="H566" s="1" t="s">
        <v>48</v>
      </c>
      <c r="I566" s="1" t="s">
        <v>12</v>
      </c>
      <c r="J566" s="1" t="s">
        <v>40</v>
      </c>
      <c r="K566" s="1" t="s">
        <v>14</v>
      </c>
      <c r="L566" s="1" t="s">
        <v>35</v>
      </c>
      <c r="M566" s="1" t="s">
        <v>35</v>
      </c>
      <c r="N566" s="1">
        <v>27.12</v>
      </c>
      <c r="O566" s="1" t="s">
        <v>25</v>
      </c>
      <c r="P566" s="1">
        <v>-4.8899999999999997</v>
      </c>
      <c r="Q566" s="1" t="s">
        <v>16</v>
      </c>
      <c r="R566" s="1" t="str">
        <f>IF(N566="","",VLOOKUP(N566,Prior_levels,2,TRUE))</f>
        <v>M</v>
      </c>
    </row>
    <row r="567" spans="1:18" x14ac:dyDescent="0.2">
      <c r="A567" s="1" t="s">
        <v>88</v>
      </c>
      <c r="B567" s="1" t="s">
        <v>12</v>
      </c>
      <c r="C567" s="2">
        <v>41155</v>
      </c>
      <c r="D567" s="1">
        <v>10</v>
      </c>
      <c r="E567" s="1" t="s">
        <v>39</v>
      </c>
      <c r="H567" s="1" t="s">
        <v>48</v>
      </c>
      <c r="I567" s="1" t="s">
        <v>12</v>
      </c>
      <c r="J567" s="1" t="s">
        <v>40</v>
      </c>
      <c r="K567" s="1" t="s">
        <v>14</v>
      </c>
      <c r="L567" s="1" t="s">
        <v>35</v>
      </c>
      <c r="M567" s="1" t="s">
        <v>35</v>
      </c>
      <c r="N567" s="1">
        <v>27.12</v>
      </c>
      <c r="O567" s="1" t="s">
        <v>26</v>
      </c>
      <c r="P567" s="1">
        <v>1</v>
      </c>
      <c r="Q567" s="1" t="s">
        <v>16</v>
      </c>
      <c r="R567" s="1" t="str">
        <f>IF(N567="","",VLOOKUP(N567,Prior_levels,2,TRUE))</f>
        <v>M</v>
      </c>
    </row>
    <row r="568" spans="1:18" x14ac:dyDescent="0.2">
      <c r="A568" s="1" t="s">
        <v>88</v>
      </c>
      <c r="B568" s="1" t="s">
        <v>12</v>
      </c>
      <c r="C568" s="2">
        <v>41155</v>
      </c>
      <c r="D568" s="1">
        <v>10</v>
      </c>
      <c r="E568" s="1" t="s">
        <v>39</v>
      </c>
      <c r="H568" s="1" t="s">
        <v>48</v>
      </c>
      <c r="I568" s="1" t="s">
        <v>12</v>
      </c>
      <c r="J568" s="1" t="s">
        <v>40</v>
      </c>
      <c r="K568" s="1" t="s">
        <v>14</v>
      </c>
      <c r="L568" s="1" t="s">
        <v>35</v>
      </c>
      <c r="M568" s="1" t="s">
        <v>35</v>
      </c>
      <c r="N568" s="1">
        <v>27.12</v>
      </c>
      <c r="O568" s="1" t="s">
        <v>27</v>
      </c>
      <c r="P568" s="1" t="s">
        <v>28</v>
      </c>
      <c r="Q568" s="1" t="s">
        <v>16</v>
      </c>
      <c r="R568" s="1" t="str">
        <f>IF(N568="","",VLOOKUP(N568,Prior_levels,2,TRUE))</f>
        <v>M</v>
      </c>
    </row>
    <row r="569" spans="1:18" x14ac:dyDescent="0.2">
      <c r="A569" s="1" t="s">
        <v>88</v>
      </c>
      <c r="B569" s="1" t="s">
        <v>12</v>
      </c>
      <c r="C569" s="2">
        <v>41155</v>
      </c>
      <c r="D569" s="1">
        <v>10</v>
      </c>
      <c r="E569" s="1" t="s">
        <v>39</v>
      </c>
      <c r="H569" s="1" t="s">
        <v>48</v>
      </c>
      <c r="I569" s="1" t="s">
        <v>12</v>
      </c>
      <c r="J569" s="1" t="s">
        <v>40</v>
      </c>
      <c r="K569" s="1" t="s">
        <v>14</v>
      </c>
      <c r="L569" s="1" t="s">
        <v>35</v>
      </c>
      <c r="M569" s="1" t="s">
        <v>35</v>
      </c>
      <c r="N569" s="1">
        <v>27.12</v>
      </c>
      <c r="O569" s="1" t="s">
        <v>29</v>
      </c>
      <c r="P569" s="1" t="s">
        <v>28</v>
      </c>
      <c r="Q569" s="1" t="s">
        <v>16</v>
      </c>
      <c r="R569" s="1" t="str">
        <f>IF(N569="","",VLOOKUP(N569,Prior_levels,2,TRUE))</f>
        <v>M</v>
      </c>
    </row>
    <row r="570" spans="1:18" x14ac:dyDescent="0.2">
      <c r="A570" s="1" t="s">
        <v>88</v>
      </c>
      <c r="B570" s="1" t="s">
        <v>12</v>
      </c>
      <c r="C570" s="2">
        <v>41155</v>
      </c>
      <c r="D570" s="1">
        <v>10</v>
      </c>
      <c r="E570" s="1" t="s">
        <v>39</v>
      </c>
      <c r="H570" s="1" t="s">
        <v>48</v>
      </c>
      <c r="I570" s="1" t="s">
        <v>12</v>
      </c>
      <c r="J570" s="1" t="s">
        <v>40</v>
      </c>
      <c r="K570" s="1" t="s">
        <v>14</v>
      </c>
      <c r="L570" s="1" t="s">
        <v>35</v>
      </c>
      <c r="M570" s="1" t="s">
        <v>35</v>
      </c>
      <c r="N570" s="1">
        <v>27.12</v>
      </c>
      <c r="O570" s="1" t="s">
        <v>30</v>
      </c>
      <c r="P570" s="1" t="s">
        <v>28</v>
      </c>
      <c r="Q570" s="1" t="s">
        <v>16</v>
      </c>
      <c r="R570" s="1" t="str">
        <f>IF(N570="","",VLOOKUP(N570,Prior_levels,2,TRUE))</f>
        <v>M</v>
      </c>
    </row>
    <row r="571" spans="1:18" x14ac:dyDescent="0.2">
      <c r="A571" s="1" t="s">
        <v>88</v>
      </c>
      <c r="B571" s="1" t="s">
        <v>12</v>
      </c>
      <c r="C571" s="2">
        <v>41155</v>
      </c>
      <c r="D571" s="1">
        <v>10</v>
      </c>
      <c r="E571" s="1" t="s">
        <v>39</v>
      </c>
      <c r="H571" s="1" t="s">
        <v>48</v>
      </c>
      <c r="I571" s="1" t="s">
        <v>12</v>
      </c>
      <c r="J571" s="1" t="s">
        <v>40</v>
      </c>
      <c r="K571" s="1" t="s">
        <v>14</v>
      </c>
      <c r="L571" s="1" t="s">
        <v>35</v>
      </c>
      <c r="M571" s="1" t="s">
        <v>35</v>
      </c>
      <c r="N571" s="1">
        <v>27.12</v>
      </c>
      <c r="O571" s="1" t="s">
        <v>31</v>
      </c>
      <c r="P571" s="1" t="s">
        <v>28</v>
      </c>
      <c r="Q571" s="1" t="s">
        <v>16</v>
      </c>
      <c r="R571" s="1" t="str">
        <f>IF(N571="","",VLOOKUP(N571,Prior_levels,2,TRUE))</f>
        <v>M</v>
      </c>
    </row>
    <row r="572" spans="1:18" x14ac:dyDescent="0.2">
      <c r="A572" s="1" t="s">
        <v>88</v>
      </c>
      <c r="B572" s="1" t="s">
        <v>12</v>
      </c>
      <c r="C572" s="2">
        <v>41155</v>
      </c>
      <c r="D572" s="1">
        <v>10</v>
      </c>
      <c r="E572" s="1" t="s">
        <v>39</v>
      </c>
      <c r="H572" s="1" t="s">
        <v>48</v>
      </c>
      <c r="I572" s="1" t="s">
        <v>12</v>
      </c>
      <c r="J572" s="1" t="s">
        <v>40</v>
      </c>
      <c r="K572" s="1" t="s">
        <v>14</v>
      </c>
      <c r="L572" s="1" t="s">
        <v>35</v>
      </c>
      <c r="M572" s="1" t="s">
        <v>35</v>
      </c>
      <c r="N572" s="1">
        <v>27.12</v>
      </c>
      <c r="O572" s="1" t="s">
        <v>32</v>
      </c>
      <c r="P572" s="1" t="s">
        <v>28</v>
      </c>
      <c r="Q572" s="1" t="s">
        <v>16</v>
      </c>
      <c r="R572" s="1" t="str">
        <f>IF(N572="","",VLOOKUP(N572,Prior_levels,2,TRUE))</f>
        <v>M</v>
      </c>
    </row>
    <row r="573" spans="1:18" x14ac:dyDescent="0.2">
      <c r="A573" s="1" t="s">
        <v>89</v>
      </c>
      <c r="B573" s="1" t="s">
        <v>10</v>
      </c>
      <c r="C573" s="2">
        <v>41155</v>
      </c>
      <c r="D573" s="1">
        <v>10</v>
      </c>
      <c r="E573" s="1" t="s">
        <v>42</v>
      </c>
      <c r="I573" s="1" t="s">
        <v>12</v>
      </c>
      <c r="J573" s="1" t="s">
        <v>43</v>
      </c>
      <c r="K573" s="1" t="s">
        <v>14</v>
      </c>
      <c r="L573" s="1" t="s">
        <v>35</v>
      </c>
      <c r="M573" s="1" t="s">
        <v>35</v>
      </c>
      <c r="N573" s="1">
        <v>27.12</v>
      </c>
      <c r="O573" s="1" t="s">
        <v>15</v>
      </c>
      <c r="P573" s="1">
        <v>4.5</v>
      </c>
      <c r="Q573" s="1" t="s">
        <v>16</v>
      </c>
      <c r="R573" s="1" t="str">
        <f>IF(N573="","",VLOOKUP(N573,Prior_levels,2,TRUE))</f>
        <v>M</v>
      </c>
    </row>
    <row r="574" spans="1:18" x14ac:dyDescent="0.2">
      <c r="A574" s="1" t="s">
        <v>89</v>
      </c>
      <c r="B574" s="1" t="s">
        <v>10</v>
      </c>
      <c r="C574" s="2">
        <v>41155</v>
      </c>
      <c r="D574" s="1">
        <v>10</v>
      </c>
      <c r="E574" s="1" t="s">
        <v>42</v>
      </c>
      <c r="I574" s="1" t="s">
        <v>12</v>
      </c>
      <c r="J574" s="1" t="s">
        <v>43</v>
      </c>
      <c r="K574" s="1" t="s">
        <v>14</v>
      </c>
      <c r="L574" s="1" t="s">
        <v>35</v>
      </c>
      <c r="M574" s="1" t="s">
        <v>35</v>
      </c>
      <c r="N574" s="1">
        <v>27.12</v>
      </c>
      <c r="O574" s="1" t="s">
        <v>17</v>
      </c>
      <c r="P574" s="1">
        <v>-0.05</v>
      </c>
      <c r="Q574" s="1" t="s">
        <v>16</v>
      </c>
      <c r="R574" s="1" t="str">
        <f>IF(N574="","",VLOOKUP(N574,Prior_levels,2,TRUE))</f>
        <v>M</v>
      </c>
    </row>
    <row r="575" spans="1:18" x14ac:dyDescent="0.2">
      <c r="A575" s="1" t="s">
        <v>89</v>
      </c>
      <c r="B575" s="1" t="s">
        <v>10</v>
      </c>
      <c r="C575" s="2">
        <v>41155</v>
      </c>
      <c r="D575" s="1">
        <v>10</v>
      </c>
      <c r="E575" s="1" t="s">
        <v>42</v>
      </c>
      <c r="I575" s="1" t="s">
        <v>12</v>
      </c>
      <c r="J575" s="1" t="s">
        <v>43</v>
      </c>
      <c r="K575" s="1" t="s">
        <v>14</v>
      </c>
      <c r="L575" s="1" t="s">
        <v>35</v>
      </c>
      <c r="M575" s="1" t="s">
        <v>35</v>
      </c>
      <c r="N575" s="1">
        <v>27.12</v>
      </c>
      <c r="O575" s="1" t="s">
        <v>18</v>
      </c>
      <c r="P575" s="1">
        <v>10</v>
      </c>
      <c r="Q575" s="1" t="s">
        <v>16</v>
      </c>
      <c r="R575" s="1" t="str">
        <f>IF(N575="","",VLOOKUP(N575,Prior_levels,2,TRUE))</f>
        <v>M</v>
      </c>
    </row>
    <row r="576" spans="1:18" x14ac:dyDescent="0.2">
      <c r="A576" s="1" t="s">
        <v>89</v>
      </c>
      <c r="B576" s="1" t="s">
        <v>10</v>
      </c>
      <c r="C576" s="2">
        <v>41155</v>
      </c>
      <c r="D576" s="1">
        <v>10</v>
      </c>
      <c r="E576" s="1" t="s">
        <v>42</v>
      </c>
      <c r="I576" s="1" t="s">
        <v>12</v>
      </c>
      <c r="J576" s="1" t="s">
        <v>43</v>
      </c>
      <c r="K576" s="1" t="s">
        <v>14</v>
      </c>
      <c r="L576" s="1" t="s">
        <v>35</v>
      </c>
      <c r="M576" s="1" t="s">
        <v>35</v>
      </c>
      <c r="N576" s="1">
        <v>27.12</v>
      </c>
      <c r="O576" s="1" t="s">
        <v>19</v>
      </c>
      <c r="P576" s="1">
        <v>10</v>
      </c>
      <c r="Q576" s="1" t="s">
        <v>16</v>
      </c>
      <c r="R576" s="1" t="str">
        <f>IF(N576="","",VLOOKUP(N576,Prior_levels,2,TRUE))</f>
        <v>M</v>
      </c>
    </row>
    <row r="577" spans="1:18" x14ac:dyDescent="0.2">
      <c r="A577" s="1" t="s">
        <v>89</v>
      </c>
      <c r="B577" s="1" t="s">
        <v>10</v>
      </c>
      <c r="C577" s="2">
        <v>41155</v>
      </c>
      <c r="D577" s="1">
        <v>10</v>
      </c>
      <c r="E577" s="1" t="s">
        <v>42</v>
      </c>
      <c r="I577" s="1" t="s">
        <v>12</v>
      </c>
      <c r="J577" s="1" t="s">
        <v>43</v>
      </c>
      <c r="K577" s="1" t="s">
        <v>14</v>
      </c>
      <c r="L577" s="1" t="s">
        <v>35</v>
      </c>
      <c r="M577" s="1" t="s">
        <v>35</v>
      </c>
      <c r="N577" s="1">
        <v>27.12</v>
      </c>
      <c r="O577" s="1" t="s">
        <v>20</v>
      </c>
      <c r="P577" s="1">
        <v>12</v>
      </c>
      <c r="Q577" s="1" t="s">
        <v>16</v>
      </c>
      <c r="R577" s="1" t="str">
        <f>IF(N577="","",VLOOKUP(N577,Prior_levels,2,TRUE))</f>
        <v>M</v>
      </c>
    </row>
    <row r="578" spans="1:18" x14ac:dyDescent="0.2">
      <c r="A578" s="1" t="s">
        <v>89</v>
      </c>
      <c r="B578" s="1" t="s">
        <v>10</v>
      </c>
      <c r="C578" s="2">
        <v>41155</v>
      </c>
      <c r="D578" s="1">
        <v>10</v>
      </c>
      <c r="E578" s="1" t="s">
        <v>42</v>
      </c>
      <c r="I578" s="1" t="s">
        <v>12</v>
      </c>
      <c r="J578" s="1" t="s">
        <v>43</v>
      </c>
      <c r="K578" s="1" t="s">
        <v>14</v>
      </c>
      <c r="L578" s="1" t="s">
        <v>35</v>
      </c>
      <c r="M578" s="1" t="s">
        <v>35</v>
      </c>
      <c r="N578" s="1">
        <v>27.12</v>
      </c>
      <c r="O578" s="1" t="s">
        <v>21</v>
      </c>
      <c r="P578" s="1">
        <v>13</v>
      </c>
      <c r="Q578" s="1" t="s">
        <v>16</v>
      </c>
      <c r="R578" s="1" t="str">
        <f>IF(N578="","",VLOOKUP(N578,Prior_levels,2,TRUE))</f>
        <v>M</v>
      </c>
    </row>
    <row r="579" spans="1:18" x14ac:dyDescent="0.2">
      <c r="A579" s="1" t="s">
        <v>89</v>
      </c>
      <c r="B579" s="1" t="s">
        <v>10</v>
      </c>
      <c r="C579" s="2">
        <v>41155</v>
      </c>
      <c r="D579" s="1">
        <v>10</v>
      </c>
      <c r="E579" s="1" t="s">
        <v>42</v>
      </c>
      <c r="I579" s="1" t="s">
        <v>12</v>
      </c>
      <c r="J579" s="1" t="s">
        <v>43</v>
      </c>
      <c r="K579" s="1" t="s">
        <v>14</v>
      </c>
      <c r="L579" s="1" t="s">
        <v>35</v>
      </c>
      <c r="M579" s="1" t="s">
        <v>35</v>
      </c>
      <c r="N579" s="1">
        <v>27.12</v>
      </c>
      <c r="O579" s="1" t="s">
        <v>22</v>
      </c>
      <c r="P579" s="1">
        <v>-0.05</v>
      </c>
      <c r="Q579" s="1" t="s">
        <v>16</v>
      </c>
      <c r="R579" s="1" t="str">
        <f>IF(N579="","",VLOOKUP(N579,Prior_levels,2,TRUE))</f>
        <v>M</v>
      </c>
    </row>
    <row r="580" spans="1:18" x14ac:dyDescent="0.2">
      <c r="A580" s="1" t="s">
        <v>89</v>
      </c>
      <c r="B580" s="1" t="s">
        <v>10</v>
      </c>
      <c r="C580" s="2">
        <v>41155</v>
      </c>
      <c r="D580" s="1">
        <v>10</v>
      </c>
      <c r="E580" s="1" t="s">
        <v>42</v>
      </c>
      <c r="I580" s="1" t="s">
        <v>12</v>
      </c>
      <c r="J580" s="1" t="s">
        <v>43</v>
      </c>
      <c r="K580" s="1" t="s">
        <v>14</v>
      </c>
      <c r="L580" s="1" t="s">
        <v>35</v>
      </c>
      <c r="M580" s="1" t="s">
        <v>35</v>
      </c>
      <c r="N580" s="1">
        <v>27.12</v>
      </c>
      <c r="O580" s="1" t="s">
        <v>23</v>
      </c>
      <c r="P580" s="1">
        <v>0.36</v>
      </c>
      <c r="Q580" s="1" t="s">
        <v>16</v>
      </c>
      <c r="R580" s="1" t="str">
        <f>IF(N580="","",VLOOKUP(N580,Prior_levels,2,TRUE))</f>
        <v>M</v>
      </c>
    </row>
    <row r="581" spans="1:18" x14ac:dyDescent="0.2">
      <c r="A581" s="1" t="s">
        <v>89</v>
      </c>
      <c r="B581" s="1" t="s">
        <v>10</v>
      </c>
      <c r="C581" s="2">
        <v>41155</v>
      </c>
      <c r="D581" s="1">
        <v>10</v>
      </c>
      <c r="E581" s="1" t="s">
        <v>42</v>
      </c>
      <c r="I581" s="1" t="s">
        <v>12</v>
      </c>
      <c r="J581" s="1" t="s">
        <v>43</v>
      </c>
      <c r="K581" s="1" t="s">
        <v>14</v>
      </c>
      <c r="L581" s="1" t="s">
        <v>35</v>
      </c>
      <c r="M581" s="1" t="s">
        <v>35</v>
      </c>
      <c r="N581" s="1">
        <v>27.12</v>
      </c>
      <c r="O581" s="1" t="s">
        <v>25</v>
      </c>
      <c r="P581" s="1">
        <v>-1.89</v>
      </c>
      <c r="Q581" s="1" t="s">
        <v>16</v>
      </c>
      <c r="R581" s="1" t="str">
        <f>IF(N581="","",VLOOKUP(N581,Prior_levels,2,TRUE))</f>
        <v>M</v>
      </c>
    </row>
    <row r="582" spans="1:18" x14ac:dyDescent="0.2">
      <c r="A582" s="1" t="s">
        <v>89</v>
      </c>
      <c r="B582" s="1" t="s">
        <v>10</v>
      </c>
      <c r="C582" s="2">
        <v>41155</v>
      </c>
      <c r="D582" s="1">
        <v>10</v>
      </c>
      <c r="E582" s="1" t="s">
        <v>42</v>
      </c>
      <c r="I582" s="1" t="s">
        <v>12</v>
      </c>
      <c r="J582" s="1" t="s">
        <v>43</v>
      </c>
      <c r="K582" s="1" t="s">
        <v>14</v>
      </c>
      <c r="L582" s="1" t="s">
        <v>35</v>
      </c>
      <c r="M582" s="1" t="s">
        <v>35</v>
      </c>
      <c r="N582" s="1">
        <v>27.12</v>
      </c>
      <c r="O582" s="1" t="s">
        <v>26</v>
      </c>
      <c r="P582" s="1">
        <v>10</v>
      </c>
      <c r="Q582" s="1" t="s">
        <v>16</v>
      </c>
      <c r="R582" s="1" t="str">
        <f>IF(N582="","",VLOOKUP(N582,Prior_levels,2,TRUE))</f>
        <v>M</v>
      </c>
    </row>
    <row r="583" spans="1:18" x14ac:dyDescent="0.2">
      <c r="A583" s="1" t="s">
        <v>89</v>
      </c>
      <c r="B583" s="1" t="s">
        <v>10</v>
      </c>
      <c r="C583" s="2">
        <v>41155</v>
      </c>
      <c r="D583" s="1">
        <v>10</v>
      </c>
      <c r="E583" s="1" t="s">
        <v>42</v>
      </c>
      <c r="I583" s="1" t="s">
        <v>12</v>
      </c>
      <c r="J583" s="1" t="s">
        <v>43</v>
      </c>
      <c r="K583" s="1" t="s">
        <v>14</v>
      </c>
      <c r="L583" s="1" t="s">
        <v>35</v>
      </c>
      <c r="M583" s="1" t="s">
        <v>35</v>
      </c>
      <c r="N583" s="1">
        <v>27.12</v>
      </c>
      <c r="O583" s="1" t="s">
        <v>24</v>
      </c>
      <c r="P583" s="1">
        <v>0.75</v>
      </c>
      <c r="Q583" s="1" t="s">
        <v>16</v>
      </c>
      <c r="R583" s="1" t="str">
        <f>IF(N583="","",VLOOKUP(N583,Prior_levels,2,TRUE))</f>
        <v>M</v>
      </c>
    </row>
    <row r="584" spans="1:18" x14ac:dyDescent="0.2">
      <c r="A584" s="1" t="s">
        <v>89</v>
      </c>
      <c r="B584" s="1" t="s">
        <v>10</v>
      </c>
      <c r="C584" s="2">
        <v>41155</v>
      </c>
      <c r="D584" s="1">
        <v>10</v>
      </c>
      <c r="E584" s="1" t="s">
        <v>42</v>
      </c>
      <c r="I584" s="1" t="s">
        <v>12</v>
      </c>
      <c r="J584" s="1" t="s">
        <v>43</v>
      </c>
      <c r="K584" s="1" t="s">
        <v>14</v>
      </c>
      <c r="L584" s="1" t="s">
        <v>35</v>
      </c>
      <c r="M584" s="1" t="s">
        <v>35</v>
      </c>
      <c r="N584" s="1">
        <v>27.12</v>
      </c>
      <c r="O584" s="1" t="s">
        <v>32</v>
      </c>
      <c r="P584" s="1" t="s">
        <v>37</v>
      </c>
      <c r="Q584" s="1" t="s">
        <v>16</v>
      </c>
      <c r="R584" s="1" t="str">
        <f>IF(N584="","",VLOOKUP(N584,Prior_levels,2,TRUE))</f>
        <v>M</v>
      </c>
    </row>
    <row r="585" spans="1:18" x14ac:dyDescent="0.2">
      <c r="A585" s="1" t="s">
        <v>89</v>
      </c>
      <c r="B585" s="1" t="s">
        <v>10</v>
      </c>
      <c r="C585" s="2">
        <v>41155</v>
      </c>
      <c r="D585" s="1">
        <v>10</v>
      </c>
      <c r="E585" s="1" t="s">
        <v>42</v>
      </c>
      <c r="I585" s="1" t="s">
        <v>12</v>
      </c>
      <c r="J585" s="1" t="s">
        <v>43</v>
      </c>
      <c r="K585" s="1" t="s">
        <v>14</v>
      </c>
      <c r="L585" s="1" t="s">
        <v>35</v>
      </c>
      <c r="M585" s="1" t="s">
        <v>35</v>
      </c>
      <c r="N585" s="1">
        <v>27.12</v>
      </c>
      <c r="O585" s="1" t="s">
        <v>27</v>
      </c>
      <c r="P585" s="1" t="s">
        <v>37</v>
      </c>
      <c r="Q585" s="1" t="s">
        <v>16</v>
      </c>
      <c r="R585" s="1" t="str">
        <f>IF(N585="","",VLOOKUP(N585,Prior_levels,2,TRUE))</f>
        <v>M</v>
      </c>
    </row>
    <row r="586" spans="1:18" x14ac:dyDescent="0.2">
      <c r="A586" s="1" t="s">
        <v>89</v>
      </c>
      <c r="B586" s="1" t="s">
        <v>10</v>
      </c>
      <c r="C586" s="2">
        <v>41155</v>
      </c>
      <c r="D586" s="1">
        <v>10</v>
      </c>
      <c r="E586" s="1" t="s">
        <v>42</v>
      </c>
      <c r="I586" s="1" t="s">
        <v>12</v>
      </c>
      <c r="J586" s="1" t="s">
        <v>43</v>
      </c>
      <c r="K586" s="1" t="s">
        <v>14</v>
      </c>
      <c r="L586" s="1" t="s">
        <v>35</v>
      </c>
      <c r="M586" s="1" t="s">
        <v>35</v>
      </c>
      <c r="N586" s="1">
        <v>27.12</v>
      </c>
      <c r="O586" s="1" t="s">
        <v>29</v>
      </c>
      <c r="P586" s="1" t="s">
        <v>37</v>
      </c>
      <c r="Q586" s="1" t="s">
        <v>16</v>
      </c>
      <c r="R586" s="1" t="str">
        <f>IF(N586="","",VLOOKUP(N586,Prior_levels,2,TRUE))</f>
        <v>M</v>
      </c>
    </row>
    <row r="587" spans="1:18" x14ac:dyDescent="0.2">
      <c r="A587" s="1" t="s">
        <v>89</v>
      </c>
      <c r="B587" s="1" t="s">
        <v>10</v>
      </c>
      <c r="C587" s="2">
        <v>41155</v>
      </c>
      <c r="D587" s="1">
        <v>10</v>
      </c>
      <c r="E587" s="1" t="s">
        <v>42</v>
      </c>
      <c r="I587" s="1" t="s">
        <v>12</v>
      </c>
      <c r="J587" s="1" t="s">
        <v>43</v>
      </c>
      <c r="K587" s="1" t="s">
        <v>14</v>
      </c>
      <c r="L587" s="1" t="s">
        <v>35</v>
      </c>
      <c r="M587" s="1" t="s">
        <v>35</v>
      </c>
      <c r="N587" s="1">
        <v>27.12</v>
      </c>
      <c r="O587" s="1" t="s">
        <v>30</v>
      </c>
      <c r="P587" s="1" t="s">
        <v>37</v>
      </c>
      <c r="Q587" s="1" t="s">
        <v>16</v>
      </c>
      <c r="R587" s="1" t="str">
        <f>IF(N587="","",VLOOKUP(N587,Prior_levels,2,TRUE))</f>
        <v>M</v>
      </c>
    </row>
    <row r="588" spans="1:18" x14ac:dyDescent="0.2">
      <c r="A588" s="1" t="s">
        <v>89</v>
      </c>
      <c r="B588" s="1" t="s">
        <v>10</v>
      </c>
      <c r="C588" s="2">
        <v>41155</v>
      </c>
      <c r="D588" s="1">
        <v>10</v>
      </c>
      <c r="E588" s="1" t="s">
        <v>42</v>
      </c>
      <c r="I588" s="1" t="s">
        <v>12</v>
      </c>
      <c r="J588" s="1" t="s">
        <v>43</v>
      </c>
      <c r="K588" s="1" t="s">
        <v>14</v>
      </c>
      <c r="L588" s="1" t="s">
        <v>35</v>
      </c>
      <c r="M588" s="1" t="s">
        <v>35</v>
      </c>
      <c r="N588" s="1">
        <v>27.12</v>
      </c>
      <c r="O588" s="1" t="s">
        <v>31</v>
      </c>
      <c r="P588" s="1" t="s">
        <v>37</v>
      </c>
      <c r="Q588" s="1" t="s">
        <v>16</v>
      </c>
      <c r="R588" s="1" t="str">
        <f>IF(N588="","",VLOOKUP(N588,Prior_levels,2,TRUE))</f>
        <v>M</v>
      </c>
    </row>
    <row r="589" spans="1:18" x14ac:dyDescent="0.2">
      <c r="A589" s="1" t="s">
        <v>90</v>
      </c>
      <c r="B589" s="1" t="s">
        <v>10</v>
      </c>
      <c r="C589" s="2">
        <v>41155</v>
      </c>
      <c r="D589" s="1">
        <v>10</v>
      </c>
      <c r="E589" s="1" t="s">
        <v>42</v>
      </c>
      <c r="H589" s="1" t="s">
        <v>54</v>
      </c>
      <c r="I589" s="1" t="s">
        <v>12</v>
      </c>
      <c r="J589" s="1" t="s">
        <v>40</v>
      </c>
      <c r="K589" s="1" t="s">
        <v>14</v>
      </c>
      <c r="L589" s="1" t="s">
        <v>35</v>
      </c>
      <c r="M589" s="1" t="s">
        <v>35</v>
      </c>
      <c r="N589" s="1">
        <v>24.12</v>
      </c>
      <c r="O589" s="1" t="s">
        <v>15</v>
      </c>
      <c r="P589" s="1">
        <v>2.5</v>
      </c>
      <c r="Q589" s="1" t="s">
        <v>16</v>
      </c>
      <c r="R589" s="1" t="str">
        <f>IF(N589="","",VLOOKUP(N589,Prior_levels,2,TRUE))</f>
        <v>M</v>
      </c>
    </row>
    <row r="590" spans="1:18" x14ac:dyDescent="0.2">
      <c r="A590" s="1" t="s">
        <v>90</v>
      </c>
      <c r="B590" s="1" t="s">
        <v>10</v>
      </c>
      <c r="C590" s="2">
        <v>41155</v>
      </c>
      <c r="D590" s="1">
        <v>10</v>
      </c>
      <c r="E590" s="1" t="s">
        <v>42</v>
      </c>
      <c r="H590" s="1" t="s">
        <v>54</v>
      </c>
      <c r="I590" s="1" t="s">
        <v>12</v>
      </c>
      <c r="J590" s="1" t="s">
        <v>40</v>
      </c>
      <c r="K590" s="1" t="s">
        <v>14</v>
      </c>
      <c r="L590" s="1" t="s">
        <v>35</v>
      </c>
      <c r="M590" s="1" t="s">
        <v>35</v>
      </c>
      <c r="N590" s="1">
        <v>24.12</v>
      </c>
      <c r="O590" s="1" t="s">
        <v>17</v>
      </c>
      <c r="P590" s="1">
        <v>-1.1100000000000001</v>
      </c>
      <c r="Q590" s="1" t="s">
        <v>16</v>
      </c>
      <c r="R590" s="1" t="str">
        <f>IF(N590="","",VLOOKUP(N590,Prior_levels,2,TRUE))</f>
        <v>M</v>
      </c>
    </row>
    <row r="591" spans="1:18" x14ac:dyDescent="0.2">
      <c r="A591" s="1" t="s">
        <v>90</v>
      </c>
      <c r="B591" s="1" t="s">
        <v>10</v>
      </c>
      <c r="C591" s="2">
        <v>41155</v>
      </c>
      <c r="D591" s="1">
        <v>10</v>
      </c>
      <c r="E591" s="1" t="s">
        <v>42</v>
      </c>
      <c r="H591" s="1" t="s">
        <v>54</v>
      </c>
      <c r="I591" s="1" t="s">
        <v>12</v>
      </c>
      <c r="J591" s="1" t="s">
        <v>40</v>
      </c>
      <c r="K591" s="1" t="s">
        <v>14</v>
      </c>
      <c r="L591" s="1" t="s">
        <v>35</v>
      </c>
      <c r="M591" s="1" t="s">
        <v>35</v>
      </c>
      <c r="N591" s="1">
        <v>24.12</v>
      </c>
      <c r="O591" s="1" t="s">
        <v>18</v>
      </c>
      <c r="P591" s="1">
        <v>6</v>
      </c>
      <c r="Q591" s="1" t="s">
        <v>16</v>
      </c>
      <c r="R591" s="1" t="str">
        <f>IF(N591="","",VLOOKUP(N591,Prior_levels,2,TRUE))</f>
        <v>M</v>
      </c>
    </row>
    <row r="592" spans="1:18" x14ac:dyDescent="0.2">
      <c r="A592" s="1" t="s">
        <v>90</v>
      </c>
      <c r="B592" s="1" t="s">
        <v>10</v>
      </c>
      <c r="C592" s="2">
        <v>41155</v>
      </c>
      <c r="D592" s="1">
        <v>10</v>
      </c>
      <c r="E592" s="1" t="s">
        <v>42</v>
      </c>
      <c r="H592" s="1" t="s">
        <v>54</v>
      </c>
      <c r="I592" s="1" t="s">
        <v>12</v>
      </c>
      <c r="J592" s="1" t="s">
        <v>40</v>
      </c>
      <c r="K592" s="1" t="s">
        <v>14</v>
      </c>
      <c r="L592" s="1" t="s">
        <v>35</v>
      </c>
      <c r="M592" s="1" t="s">
        <v>35</v>
      </c>
      <c r="N592" s="1">
        <v>24.12</v>
      </c>
      <c r="O592" s="1" t="s">
        <v>19</v>
      </c>
      <c r="P592" s="1">
        <v>6</v>
      </c>
      <c r="Q592" s="1" t="s">
        <v>16</v>
      </c>
      <c r="R592" s="1" t="str">
        <f>IF(N592="","",VLOOKUP(N592,Prior_levels,2,TRUE))</f>
        <v>M</v>
      </c>
    </row>
    <row r="593" spans="1:18" x14ac:dyDescent="0.2">
      <c r="A593" s="1" t="s">
        <v>90</v>
      </c>
      <c r="B593" s="1" t="s">
        <v>10</v>
      </c>
      <c r="C593" s="2">
        <v>41155</v>
      </c>
      <c r="D593" s="1">
        <v>10</v>
      </c>
      <c r="E593" s="1" t="s">
        <v>42</v>
      </c>
      <c r="H593" s="1" t="s">
        <v>54</v>
      </c>
      <c r="I593" s="1" t="s">
        <v>12</v>
      </c>
      <c r="J593" s="1" t="s">
        <v>40</v>
      </c>
      <c r="K593" s="1" t="s">
        <v>14</v>
      </c>
      <c r="L593" s="1" t="s">
        <v>35</v>
      </c>
      <c r="M593" s="1" t="s">
        <v>35</v>
      </c>
      <c r="N593" s="1">
        <v>24.12</v>
      </c>
      <c r="O593" s="1" t="s">
        <v>20</v>
      </c>
      <c r="P593" s="1">
        <v>6</v>
      </c>
      <c r="Q593" s="1" t="s">
        <v>16</v>
      </c>
      <c r="R593" s="1" t="str">
        <f>IF(N593="","",VLOOKUP(N593,Prior_levels,2,TRUE))</f>
        <v>M</v>
      </c>
    </row>
    <row r="594" spans="1:18" x14ac:dyDescent="0.2">
      <c r="A594" s="1" t="s">
        <v>90</v>
      </c>
      <c r="B594" s="1" t="s">
        <v>10</v>
      </c>
      <c r="C594" s="2">
        <v>41155</v>
      </c>
      <c r="D594" s="1">
        <v>10</v>
      </c>
      <c r="E594" s="1" t="s">
        <v>42</v>
      </c>
      <c r="H594" s="1" t="s">
        <v>54</v>
      </c>
      <c r="I594" s="1" t="s">
        <v>12</v>
      </c>
      <c r="J594" s="1" t="s">
        <v>40</v>
      </c>
      <c r="K594" s="1" t="s">
        <v>14</v>
      </c>
      <c r="L594" s="1" t="s">
        <v>35</v>
      </c>
      <c r="M594" s="1" t="s">
        <v>35</v>
      </c>
      <c r="N594" s="1">
        <v>24.12</v>
      </c>
      <c r="O594" s="1" t="s">
        <v>21</v>
      </c>
      <c r="P594" s="1">
        <v>7</v>
      </c>
      <c r="Q594" s="1" t="s">
        <v>16</v>
      </c>
      <c r="R594" s="1" t="str">
        <f>IF(N594="","",VLOOKUP(N594,Prior_levels,2,TRUE))</f>
        <v>M</v>
      </c>
    </row>
    <row r="595" spans="1:18" x14ac:dyDescent="0.2">
      <c r="A595" s="1" t="s">
        <v>90</v>
      </c>
      <c r="B595" s="1" t="s">
        <v>10</v>
      </c>
      <c r="C595" s="2">
        <v>41155</v>
      </c>
      <c r="D595" s="1">
        <v>10</v>
      </c>
      <c r="E595" s="1" t="s">
        <v>42</v>
      </c>
      <c r="H595" s="1" t="s">
        <v>54</v>
      </c>
      <c r="I595" s="1" t="s">
        <v>12</v>
      </c>
      <c r="J595" s="1" t="s">
        <v>40</v>
      </c>
      <c r="K595" s="1" t="s">
        <v>14</v>
      </c>
      <c r="L595" s="1" t="s">
        <v>35</v>
      </c>
      <c r="M595" s="1" t="s">
        <v>35</v>
      </c>
      <c r="N595" s="1">
        <v>24.12</v>
      </c>
      <c r="O595" s="1" t="s">
        <v>22</v>
      </c>
      <c r="P595" s="1">
        <v>-1.32</v>
      </c>
      <c r="Q595" s="1" t="s">
        <v>16</v>
      </c>
      <c r="R595" s="1" t="str">
        <f>IF(N595="","",VLOOKUP(N595,Prior_levels,2,TRUE))</f>
        <v>M</v>
      </c>
    </row>
    <row r="596" spans="1:18" x14ac:dyDescent="0.2">
      <c r="A596" s="1" t="s">
        <v>90</v>
      </c>
      <c r="B596" s="1" t="s">
        <v>10</v>
      </c>
      <c r="C596" s="2">
        <v>41155</v>
      </c>
      <c r="D596" s="1">
        <v>10</v>
      </c>
      <c r="E596" s="1" t="s">
        <v>42</v>
      </c>
      <c r="H596" s="1" t="s">
        <v>54</v>
      </c>
      <c r="I596" s="1" t="s">
        <v>12</v>
      </c>
      <c r="J596" s="1" t="s">
        <v>40</v>
      </c>
      <c r="K596" s="1" t="s">
        <v>14</v>
      </c>
      <c r="L596" s="1" t="s">
        <v>35</v>
      </c>
      <c r="M596" s="1" t="s">
        <v>35</v>
      </c>
      <c r="N596" s="1">
        <v>24.12</v>
      </c>
      <c r="O596" s="1" t="s">
        <v>23</v>
      </c>
      <c r="P596" s="1">
        <v>-0.66</v>
      </c>
      <c r="Q596" s="1" t="s">
        <v>16</v>
      </c>
      <c r="R596" s="1" t="str">
        <f>IF(N596="","",VLOOKUP(N596,Prior_levels,2,TRUE))</f>
        <v>M</v>
      </c>
    </row>
    <row r="597" spans="1:18" x14ac:dyDescent="0.2">
      <c r="A597" s="1" t="s">
        <v>90</v>
      </c>
      <c r="B597" s="1" t="s">
        <v>10</v>
      </c>
      <c r="C597" s="2">
        <v>41155</v>
      </c>
      <c r="D597" s="1">
        <v>10</v>
      </c>
      <c r="E597" s="1" t="s">
        <v>42</v>
      </c>
      <c r="H597" s="1" t="s">
        <v>54</v>
      </c>
      <c r="I597" s="1" t="s">
        <v>12</v>
      </c>
      <c r="J597" s="1" t="s">
        <v>40</v>
      </c>
      <c r="K597" s="1" t="s">
        <v>14</v>
      </c>
      <c r="L597" s="1" t="s">
        <v>35</v>
      </c>
      <c r="M597" s="1" t="s">
        <v>35</v>
      </c>
      <c r="N597" s="1">
        <v>24.12</v>
      </c>
      <c r="O597" s="1" t="s">
        <v>24</v>
      </c>
      <c r="P597" s="1">
        <v>-1.26</v>
      </c>
      <c r="Q597" s="1" t="s">
        <v>16</v>
      </c>
      <c r="R597" s="1" t="str">
        <f>IF(N597="","",VLOOKUP(N597,Prior_levels,2,TRUE))</f>
        <v>M</v>
      </c>
    </row>
    <row r="598" spans="1:18" x14ac:dyDescent="0.2">
      <c r="A598" s="1" t="s">
        <v>90</v>
      </c>
      <c r="B598" s="1" t="s">
        <v>10</v>
      </c>
      <c r="C598" s="2">
        <v>41155</v>
      </c>
      <c r="D598" s="1">
        <v>10</v>
      </c>
      <c r="E598" s="1" t="s">
        <v>42</v>
      </c>
      <c r="H598" s="1" t="s">
        <v>54</v>
      </c>
      <c r="I598" s="1" t="s">
        <v>12</v>
      </c>
      <c r="J598" s="1" t="s">
        <v>40</v>
      </c>
      <c r="K598" s="1" t="s">
        <v>14</v>
      </c>
      <c r="L598" s="1" t="s">
        <v>35</v>
      </c>
      <c r="M598" s="1" t="s">
        <v>35</v>
      </c>
      <c r="N598" s="1">
        <v>24.12</v>
      </c>
      <c r="O598" s="1" t="s">
        <v>25</v>
      </c>
      <c r="P598" s="1">
        <v>-5.92</v>
      </c>
      <c r="Q598" s="1" t="s">
        <v>16</v>
      </c>
      <c r="R598" s="1" t="str">
        <f>IF(N598="","",VLOOKUP(N598,Prior_levels,2,TRUE))</f>
        <v>M</v>
      </c>
    </row>
    <row r="599" spans="1:18" x14ac:dyDescent="0.2">
      <c r="A599" s="1" t="s">
        <v>90</v>
      </c>
      <c r="B599" s="1" t="s">
        <v>10</v>
      </c>
      <c r="C599" s="2">
        <v>41155</v>
      </c>
      <c r="D599" s="1">
        <v>10</v>
      </c>
      <c r="E599" s="1" t="s">
        <v>42</v>
      </c>
      <c r="H599" s="1" t="s">
        <v>54</v>
      </c>
      <c r="I599" s="1" t="s">
        <v>12</v>
      </c>
      <c r="J599" s="1" t="s">
        <v>40</v>
      </c>
      <c r="K599" s="1" t="s">
        <v>14</v>
      </c>
      <c r="L599" s="1" t="s">
        <v>35</v>
      </c>
      <c r="M599" s="1" t="s">
        <v>35</v>
      </c>
      <c r="N599" s="1">
        <v>24.12</v>
      </c>
      <c r="O599" s="1" t="s">
        <v>26</v>
      </c>
      <c r="P599" s="1">
        <v>0</v>
      </c>
      <c r="Q599" s="1" t="s">
        <v>16</v>
      </c>
      <c r="R599" s="1" t="str">
        <f>IF(N599="","",VLOOKUP(N599,Prior_levels,2,TRUE))</f>
        <v>M</v>
      </c>
    </row>
    <row r="600" spans="1:18" x14ac:dyDescent="0.2">
      <c r="A600" s="1" t="s">
        <v>90</v>
      </c>
      <c r="B600" s="1" t="s">
        <v>10</v>
      </c>
      <c r="C600" s="2">
        <v>41155</v>
      </c>
      <c r="D600" s="1">
        <v>10</v>
      </c>
      <c r="E600" s="1" t="s">
        <v>42</v>
      </c>
      <c r="H600" s="1" t="s">
        <v>54</v>
      </c>
      <c r="I600" s="1" t="s">
        <v>12</v>
      </c>
      <c r="J600" s="1" t="s">
        <v>40</v>
      </c>
      <c r="K600" s="1" t="s">
        <v>14</v>
      </c>
      <c r="L600" s="1" t="s">
        <v>35</v>
      </c>
      <c r="M600" s="1" t="s">
        <v>35</v>
      </c>
      <c r="N600" s="1">
        <v>24.12</v>
      </c>
      <c r="O600" s="1" t="s">
        <v>32</v>
      </c>
      <c r="P600" s="1" t="s">
        <v>28</v>
      </c>
      <c r="Q600" s="1" t="s">
        <v>16</v>
      </c>
      <c r="R600" s="1" t="str">
        <f>IF(N600="","",VLOOKUP(N600,Prior_levels,2,TRUE))</f>
        <v>M</v>
      </c>
    </row>
    <row r="601" spans="1:18" x14ac:dyDescent="0.2">
      <c r="A601" s="1" t="s">
        <v>90</v>
      </c>
      <c r="B601" s="1" t="s">
        <v>10</v>
      </c>
      <c r="C601" s="2">
        <v>41155</v>
      </c>
      <c r="D601" s="1">
        <v>10</v>
      </c>
      <c r="E601" s="1" t="s">
        <v>42</v>
      </c>
      <c r="H601" s="1" t="s">
        <v>54</v>
      </c>
      <c r="I601" s="1" t="s">
        <v>12</v>
      </c>
      <c r="J601" s="1" t="s">
        <v>40</v>
      </c>
      <c r="K601" s="1" t="s">
        <v>14</v>
      </c>
      <c r="L601" s="1" t="s">
        <v>35</v>
      </c>
      <c r="M601" s="1" t="s">
        <v>35</v>
      </c>
      <c r="N601" s="1">
        <v>24.12</v>
      </c>
      <c r="O601" s="1" t="s">
        <v>27</v>
      </c>
      <c r="P601" s="1" t="s">
        <v>28</v>
      </c>
      <c r="Q601" s="1" t="s">
        <v>16</v>
      </c>
      <c r="R601" s="1" t="str">
        <f>IF(N601="","",VLOOKUP(N601,Prior_levels,2,TRUE))</f>
        <v>M</v>
      </c>
    </row>
    <row r="602" spans="1:18" x14ac:dyDescent="0.2">
      <c r="A602" s="1" t="s">
        <v>90</v>
      </c>
      <c r="B602" s="1" t="s">
        <v>10</v>
      </c>
      <c r="C602" s="2">
        <v>41155</v>
      </c>
      <c r="D602" s="1">
        <v>10</v>
      </c>
      <c r="E602" s="1" t="s">
        <v>42</v>
      </c>
      <c r="H602" s="1" t="s">
        <v>54</v>
      </c>
      <c r="I602" s="1" t="s">
        <v>12</v>
      </c>
      <c r="J602" s="1" t="s">
        <v>40</v>
      </c>
      <c r="K602" s="1" t="s">
        <v>14</v>
      </c>
      <c r="L602" s="1" t="s">
        <v>35</v>
      </c>
      <c r="M602" s="1" t="s">
        <v>35</v>
      </c>
      <c r="N602" s="1">
        <v>24.12</v>
      </c>
      <c r="O602" s="1" t="s">
        <v>29</v>
      </c>
      <c r="P602" s="1" t="s">
        <v>28</v>
      </c>
      <c r="Q602" s="1" t="s">
        <v>16</v>
      </c>
      <c r="R602" s="1" t="str">
        <f>IF(N602="","",VLOOKUP(N602,Prior_levels,2,TRUE))</f>
        <v>M</v>
      </c>
    </row>
    <row r="603" spans="1:18" x14ac:dyDescent="0.2">
      <c r="A603" s="1" t="s">
        <v>90</v>
      </c>
      <c r="B603" s="1" t="s">
        <v>10</v>
      </c>
      <c r="C603" s="2">
        <v>41155</v>
      </c>
      <c r="D603" s="1">
        <v>10</v>
      </c>
      <c r="E603" s="1" t="s">
        <v>42</v>
      </c>
      <c r="H603" s="1" t="s">
        <v>54</v>
      </c>
      <c r="I603" s="1" t="s">
        <v>12</v>
      </c>
      <c r="J603" s="1" t="s">
        <v>40</v>
      </c>
      <c r="K603" s="1" t="s">
        <v>14</v>
      </c>
      <c r="L603" s="1" t="s">
        <v>35</v>
      </c>
      <c r="M603" s="1" t="s">
        <v>35</v>
      </c>
      <c r="N603" s="1">
        <v>24.12</v>
      </c>
      <c r="O603" s="1" t="s">
        <v>30</v>
      </c>
      <c r="P603" s="1" t="s">
        <v>28</v>
      </c>
      <c r="Q603" s="1" t="s">
        <v>16</v>
      </c>
      <c r="R603" s="1" t="str">
        <f>IF(N603="","",VLOOKUP(N603,Prior_levels,2,TRUE))</f>
        <v>M</v>
      </c>
    </row>
    <row r="604" spans="1:18" x14ac:dyDescent="0.2">
      <c r="A604" s="1" t="s">
        <v>90</v>
      </c>
      <c r="B604" s="1" t="s">
        <v>10</v>
      </c>
      <c r="C604" s="2">
        <v>41155</v>
      </c>
      <c r="D604" s="1">
        <v>10</v>
      </c>
      <c r="E604" s="1" t="s">
        <v>42</v>
      </c>
      <c r="H604" s="1" t="s">
        <v>54</v>
      </c>
      <c r="I604" s="1" t="s">
        <v>12</v>
      </c>
      <c r="J604" s="1" t="s">
        <v>40</v>
      </c>
      <c r="K604" s="1" t="s">
        <v>14</v>
      </c>
      <c r="L604" s="1" t="s">
        <v>35</v>
      </c>
      <c r="M604" s="1" t="s">
        <v>35</v>
      </c>
      <c r="N604" s="1">
        <v>24.12</v>
      </c>
      <c r="O604" s="1" t="s">
        <v>31</v>
      </c>
      <c r="P604" s="1" t="s">
        <v>28</v>
      </c>
      <c r="Q604" s="1" t="s">
        <v>16</v>
      </c>
      <c r="R604" s="1" t="str">
        <f>IF(N604="","",VLOOKUP(N604,Prior_levels,2,TRUE))</f>
        <v>M</v>
      </c>
    </row>
    <row r="605" spans="1:18" x14ac:dyDescent="0.2">
      <c r="A605" s="1" t="s">
        <v>91</v>
      </c>
      <c r="B605" s="1" t="s">
        <v>12</v>
      </c>
      <c r="C605" s="2">
        <v>41155</v>
      </c>
      <c r="D605" s="1">
        <v>10</v>
      </c>
      <c r="E605" s="1" t="s">
        <v>39</v>
      </c>
      <c r="I605" s="1" t="s">
        <v>12</v>
      </c>
      <c r="J605" s="1" t="s">
        <v>74</v>
      </c>
      <c r="K605" s="1" t="s">
        <v>14</v>
      </c>
      <c r="L605" s="1" t="s">
        <v>12</v>
      </c>
      <c r="M605" s="1" t="s">
        <v>12</v>
      </c>
      <c r="N605" s="1">
        <v>27.12</v>
      </c>
      <c r="O605" s="1" t="s">
        <v>15</v>
      </c>
      <c r="P605" s="1">
        <v>4.5</v>
      </c>
      <c r="Q605" s="1" t="s">
        <v>16</v>
      </c>
      <c r="R605" s="1" t="str">
        <f>IF(N605="","",VLOOKUP(N605,Prior_levels,2,TRUE))</f>
        <v>M</v>
      </c>
    </row>
    <row r="606" spans="1:18" x14ac:dyDescent="0.2">
      <c r="A606" s="1" t="s">
        <v>91</v>
      </c>
      <c r="B606" s="1" t="s">
        <v>12</v>
      </c>
      <c r="C606" s="2">
        <v>41155</v>
      </c>
      <c r="D606" s="1">
        <v>10</v>
      </c>
      <c r="E606" s="1" t="s">
        <v>39</v>
      </c>
      <c r="I606" s="1" t="s">
        <v>12</v>
      </c>
      <c r="J606" s="1" t="s">
        <v>74</v>
      </c>
      <c r="K606" s="1" t="s">
        <v>14</v>
      </c>
      <c r="L606" s="1" t="s">
        <v>12</v>
      </c>
      <c r="M606" s="1" t="s">
        <v>12</v>
      </c>
      <c r="N606" s="1">
        <v>27.12</v>
      </c>
      <c r="O606" s="1" t="s">
        <v>17</v>
      </c>
      <c r="P606" s="1">
        <v>-0.05</v>
      </c>
      <c r="Q606" s="1" t="s">
        <v>16</v>
      </c>
      <c r="R606" s="1" t="str">
        <f>IF(N606="","",VLOOKUP(N606,Prior_levels,2,TRUE))</f>
        <v>M</v>
      </c>
    </row>
    <row r="607" spans="1:18" x14ac:dyDescent="0.2">
      <c r="A607" s="1" t="s">
        <v>91</v>
      </c>
      <c r="B607" s="1" t="s">
        <v>12</v>
      </c>
      <c r="C607" s="2">
        <v>41155</v>
      </c>
      <c r="D607" s="1">
        <v>10</v>
      </c>
      <c r="E607" s="1" t="s">
        <v>39</v>
      </c>
      <c r="I607" s="1" t="s">
        <v>12</v>
      </c>
      <c r="J607" s="1" t="s">
        <v>74</v>
      </c>
      <c r="K607" s="1" t="s">
        <v>14</v>
      </c>
      <c r="L607" s="1" t="s">
        <v>12</v>
      </c>
      <c r="M607" s="1" t="s">
        <v>12</v>
      </c>
      <c r="N607" s="1">
        <v>27.12</v>
      </c>
      <c r="O607" s="1" t="s">
        <v>18</v>
      </c>
      <c r="P607" s="1">
        <v>10</v>
      </c>
      <c r="Q607" s="1" t="s">
        <v>16</v>
      </c>
      <c r="R607" s="1" t="str">
        <f>IF(N607="","",VLOOKUP(N607,Prior_levels,2,TRUE))</f>
        <v>M</v>
      </c>
    </row>
    <row r="608" spans="1:18" x14ac:dyDescent="0.2">
      <c r="A608" s="1" t="s">
        <v>91</v>
      </c>
      <c r="B608" s="1" t="s">
        <v>12</v>
      </c>
      <c r="C608" s="2">
        <v>41155</v>
      </c>
      <c r="D608" s="1">
        <v>10</v>
      </c>
      <c r="E608" s="1" t="s">
        <v>39</v>
      </c>
      <c r="I608" s="1" t="s">
        <v>12</v>
      </c>
      <c r="J608" s="1" t="s">
        <v>74</v>
      </c>
      <c r="K608" s="1" t="s">
        <v>14</v>
      </c>
      <c r="L608" s="1" t="s">
        <v>12</v>
      </c>
      <c r="M608" s="1" t="s">
        <v>12</v>
      </c>
      <c r="N608" s="1">
        <v>27.12</v>
      </c>
      <c r="O608" s="1" t="s">
        <v>19</v>
      </c>
      <c r="P608" s="1">
        <v>10</v>
      </c>
      <c r="Q608" s="1" t="s">
        <v>16</v>
      </c>
      <c r="R608" s="1" t="str">
        <f>IF(N608="","",VLOOKUP(N608,Prior_levels,2,TRUE))</f>
        <v>M</v>
      </c>
    </row>
    <row r="609" spans="1:18" x14ac:dyDescent="0.2">
      <c r="A609" s="1" t="s">
        <v>91</v>
      </c>
      <c r="B609" s="1" t="s">
        <v>12</v>
      </c>
      <c r="C609" s="2">
        <v>41155</v>
      </c>
      <c r="D609" s="1">
        <v>10</v>
      </c>
      <c r="E609" s="1" t="s">
        <v>39</v>
      </c>
      <c r="I609" s="1" t="s">
        <v>12</v>
      </c>
      <c r="J609" s="1" t="s">
        <v>74</v>
      </c>
      <c r="K609" s="1" t="s">
        <v>14</v>
      </c>
      <c r="L609" s="1" t="s">
        <v>12</v>
      </c>
      <c r="M609" s="1" t="s">
        <v>12</v>
      </c>
      <c r="N609" s="1">
        <v>27.12</v>
      </c>
      <c r="O609" s="1" t="s">
        <v>20</v>
      </c>
      <c r="P609" s="1">
        <v>12</v>
      </c>
      <c r="Q609" s="1" t="s">
        <v>16</v>
      </c>
      <c r="R609" s="1" t="str">
        <f>IF(N609="","",VLOOKUP(N609,Prior_levels,2,TRUE))</f>
        <v>M</v>
      </c>
    </row>
    <row r="610" spans="1:18" x14ac:dyDescent="0.2">
      <c r="A610" s="1" t="s">
        <v>91</v>
      </c>
      <c r="B610" s="1" t="s">
        <v>12</v>
      </c>
      <c r="C610" s="2">
        <v>41155</v>
      </c>
      <c r="D610" s="1">
        <v>10</v>
      </c>
      <c r="E610" s="1" t="s">
        <v>39</v>
      </c>
      <c r="I610" s="1" t="s">
        <v>12</v>
      </c>
      <c r="J610" s="1" t="s">
        <v>74</v>
      </c>
      <c r="K610" s="1" t="s">
        <v>14</v>
      </c>
      <c r="L610" s="1" t="s">
        <v>12</v>
      </c>
      <c r="M610" s="1" t="s">
        <v>12</v>
      </c>
      <c r="N610" s="1">
        <v>27.12</v>
      </c>
      <c r="O610" s="1" t="s">
        <v>21</v>
      </c>
      <c r="P610" s="1">
        <v>13</v>
      </c>
      <c r="Q610" s="1" t="s">
        <v>16</v>
      </c>
      <c r="R610" s="1" t="str">
        <f>IF(N610="","",VLOOKUP(N610,Prior_levels,2,TRUE))</f>
        <v>M</v>
      </c>
    </row>
    <row r="611" spans="1:18" x14ac:dyDescent="0.2">
      <c r="A611" s="1" t="s">
        <v>91</v>
      </c>
      <c r="B611" s="1" t="s">
        <v>12</v>
      </c>
      <c r="C611" s="2">
        <v>41155</v>
      </c>
      <c r="D611" s="1">
        <v>10</v>
      </c>
      <c r="E611" s="1" t="s">
        <v>39</v>
      </c>
      <c r="I611" s="1" t="s">
        <v>12</v>
      </c>
      <c r="J611" s="1" t="s">
        <v>74</v>
      </c>
      <c r="K611" s="1" t="s">
        <v>14</v>
      </c>
      <c r="L611" s="1" t="s">
        <v>12</v>
      </c>
      <c r="M611" s="1" t="s">
        <v>12</v>
      </c>
      <c r="N611" s="1">
        <v>27.12</v>
      </c>
      <c r="O611" s="1" t="s">
        <v>22</v>
      </c>
      <c r="P611" s="1">
        <v>-0.05</v>
      </c>
      <c r="Q611" s="1" t="s">
        <v>16</v>
      </c>
      <c r="R611" s="1" t="str">
        <f>IF(N611="","",VLOOKUP(N611,Prior_levels,2,TRUE))</f>
        <v>M</v>
      </c>
    </row>
    <row r="612" spans="1:18" x14ac:dyDescent="0.2">
      <c r="A612" s="1" t="s">
        <v>91</v>
      </c>
      <c r="B612" s="1" t="s">
        <v>12</v>
      </c>
      <c r="C612" s="2">
        <v>41155</v>
      </c>
      <c r="D612" s="1">
        <v>10</v>
      </c>
      <c r="E612" s="1" t="s">
        <v>39</v>
      </c>
      <c r="I612" s="1" t="s">
        <v>12</v>
      </c>
      <c r="J612" s="1" t="s">
        <v>74</v>
      </c>
      <c r="K612" s="1" t="s">
        <v>14</v>
      </c>
      <c r="L612" s="1" t="s">
        <v>12</v>
      </c>
      <c r="M612" s="1" t="s">
        <v>12</v>
      </c>
      <c r="N612" s="1">
        <v>27.12</v>
      </c>
      <c r="O612" s="1" t="s">
        <v>23</v>
      </c>
      <c r="P612" s="1">
        <v>0.36</v>
      </c>
      <c r="Q612" s="1" t="s">
        <v>16</v>
      </c>
      <c r="R612" s="1" t="str">
        <f>IF(N612="","",VLOOKUP(N612,Prior_levels,2,TRUE))</f>
        <v>M</v>
      </c>
    </row>
    <row r="613" spans="1:18" x14ac:dyDescent="0.2">
      <c r="A613" s="1" t="s">
        <v>91</v>
      </c>
      <c r="B613" s="1" t="s">
        <v>12</v>
      </c>
      <c r="C613" s="2">
        <v>41155</v>
      </c>
      <c r="D613" s="1">
        <v>10</v>
      </c>
      <c r="E613" s="1" t="s">
        <v>39</v>
      </c>
      <c r="I613" s="1" t="s">
        <v>12</v>
      </c>
      <c r="J613" s="1" t="s">
        <v>74</v>
      </c>
      <c r="K613" s="1" t="s">
        <v>14</v>
      </c>
      <c r="L613" s="1" t="s">
        <v>12</v>
      </c>
      <c r="M613" s="1" t="s">
        <v>12</v>
      </c>
      <c r="N613" s="1">
        <v>27.12</v>
      </c>
      <c r="O613" s="1" t="s">
        <v>24</v>
      </c>
      <c r="P613" s="1">
        <v>0.75</v>
      </c>
      <c r="Q613" s="1" t="s">
        <v>16</v>
      </c>
      <c r="R613" s="1" t="str">
        <f>IF(N613="","",VLOOKUP(N613,Prior_levels,2,TRUE))</f>
        <v>M</v>
      </c>
    </row>
    <row r="614" spans="1:18" x14ac:dyDescent="0.2">
      <c r="A614" s="1" t="s">
        <v>91</v>
      </c>
      <c r="B614" s="1" t="s">
        <v>12</v>
      </c>
      <c r="C614" s="2">
        <v>41155</v>
      </c>
      <c r="D614" s="1">
        <v>10</v>
      </c>
      <c r="E614" s="1" t="s">
        <v>39</v>
      </c>
      <c r="I614" s="1" t="s">
        <v>12</v>
      </c>
      <c r="J614" s="1" t="s">
        <v>74</v>
      </c>
      <c r="K614" s="1" t="s">
        <v>14</v>
      </c>
      <c r="L614" s="1" t="s">
        <v>12</v>
      </c>
      <c r="M614" s="1" t="s">
        <v>12</v>
      </c>
      <c r="N614" s="1">
        <v>27.12</v>
      </c>
      <c r="O614" s="1" t="s">
        <v>25</v>
      </c>
      <c r="P614" s="1">
        <v>-1.89</v>
      </c>
      <c r="Q614" s="1" t="s">
        <v>16</v>
      </c>
      <c r="R614" s="1" t="str">
        <f>IF(N614="","",VLOOKUP(N614,Prior_levels,2,TRUE))</f>
        <v>M</v>
      </c>
    </row>
    <row r="615" spans="1:18" x14ac:dyDescent="0.2">
      <c r="A615" s="1" t="s">
        <v>91</v>
      </c>
      <c r="B615" s="1" t="s">
        <v>12</v>
      </c>
      <c r="C615" s="2">
        <v>41155</v>
      </c>
      <c r="D615" s="1">
        <v>10</v>
      </c>
      <c r="E615" s="1" t="s">
        <v>39</v>
      </c>
      <c r="I615" s="1" t="s">
        <v>12</v>
      </c>
      <c r="J615" s="1" t="s">
        <v>74</v>
      </c>
      <c r="K615" s="1" t="s">
        <v>14</v>
      </c>
      <c r="L615" s="1" t="s">
        <v>12</v>
      </c>
      <c r="M615" s="1" t="s">
        <v>12</v>
      </c>
      <c r="N615" s="1">
        <v>27.12</v>
      </c>
      <c r="O615" s="1" t="s">
        <v>26</v>
      </c>
      <c r="P615" s="1">
        <v>11</v>
      </c>
      <c r="Q615" s="1" t="s">
        <v>16</v>
      </c>
      <c r="R615" s="1" t="str">
        <f>IF(N615="","",VLOOKUP(N615,Prior_levels,2,TRUE))</f>
        <v>M</v>
      </c>
    </row>
    <row r="616" spans="1:18" x14ac:dyDescent="0.2">
      <c r="A616" s="1" t="s">
        <v>91</v>
      </c>
      <c r="B616" s="1" t="s">
        <v>12</v>
      </c>
      <c r="C616" s="2">
        <v>41155</v>
      </c>
      <c r="D616" s="1">
        <v>10</v>
      </c>
      <c r="E616" s="1" t="s">
        <v>39</v>
      </c>
      <c r="I616" s="1" t="s">
        <v>12</v>
      </c>
      <c r="J616" s="1" t="s">
        <v>74</v>
      </c>
      <c r="K616" s="1" t="s">
        <v>14</v>
      </c>
      <c r="L616" s="1" t="s">
        <v>12</v>
      </c>
      <c r="M616" s="1" t="s">
        <v>12</v>
      </c>
      <c r="N616" s="1">
        <v>27.12</v>
      </c>
      <c r="O616" s="1" t="s">
        <v>27</v>
      </c>
      <c r="P616" s="1" t="s">
        <v>37</v>
      </c>
      <c r="Q616" s="1" t="s">
        <v>16</v>
      </c>
      <c r="R616" s="1" t="str">
        <f>IF(N616="","",VLOOKUP(N616,Prior_levels,2,TRUE))</f>
        <v>M</v>
      </c>
    </row>
    <row r="617" spans="1:18" x14ac:dyDescent="0.2">
      <c r="A617" s="1" t="s">
        <v>91</v>
      </c>
      <c r="B617" s="1" t="s">
        <v>12</v>
      </c>
      <c r="C617" s="2">
        <v>41155</v>
      </c>
      <c r="D617" s="1">
        <v>10</v>
      </c>
      <c r="E617" s="1" t="s">
        <v>39</v>
      </c>
      <c r="I617" s="1" t="s">
        <v>12</v>
      </c>
      <c r="J617" s="1" t="s">
        <v>74</v>
      </c>
      <c r="K617" s="1" t="s">
        <v>14</v>
      </c>
      <c r="L617" s="1" t="s">
        <v>12</v>
      </c>
      <c r="M617" s="1" t="s">
        <v>12</v>
      </c>
      <c r="N617" s="1">
        <v>27.12</v>
      </c>
      <c r="O617" s="1" t="s">
        <v>29</v>
      </c>
      <c r="P617" s="1" t="s">
        <v>37</v>
      </c>
      <c r="Q617" s="1" t="s">
        <v>16</v>
      </c>
      <c r="R617" s="1" t="str">
        <f>IF(N617="","",VLOOKUP(N617,Prior_levels,2,TRUE))</f>
        <v>M</v>
      </c>
    </row>
    <row r="618" spans="1:18" x14ac:dyDescent="0.2">
      <c r="A618" s="1" t="s">
        <v>91</v>
      </c>
      <c r="B618" s="1" t="s">
        <v>12</v>
      </c>
      <c r="C618" s="2">
        <v>41155</v>
      </c>
      <c r="D618" s="1">
        <v>10</v>
      </c>
      <c r="E618" s="1" t="s">
        <v>39</v>
      </c>
      <c r="I618" s="1" t="s">
        <v>12</v>
      </c>
      <c r="J618" s="1" t="s">
        <v>74</v>
      </c>
      <c r="K618" s="1" t="s">
        <v>14</v>
      </c>
      <c r="L618" s="1" t="s">
        <v>12</v>
      </c>
      <c r="M618" s="1" t="s">
        <v>12</v>
      </c>
      <c r="N618" s="1">
        <v>27.12</v>
      </c>
      <c r="O618" s="1" t="s">
        <v>30</v>
      </c>
      <c r="P618" s="1" t="s">
        <v>37</v>
      </c>
      <c r="Q618" s="1" t="s">
        <v>16</v>
      </c>
      <c r="R618" s="1" t="str">
        <f>IF(N618="","",VLOOKUP(N618,Prior_levels,2,TRUE))</f>
        <v>M</v>
      </c>
    </row>
    <row r="619" spans="1:18" x14ac:dyDescent="0.2">
      <c r="A619" s="1" t="s">
        <v>91</v>
      </c>
      <c r="B619" s="1" t="s">
        <v>12</v>
      </c>
      <c r="C619" s="2">
        <v>41155</v>
      </c>
      <c r="D619" s="1">
        <v>10</v>
      </c>
      <c r="E619" s="1" t="s">
        <v>39</v>
      </c>
      <c r="I619" s="1" t="s">
        <v>12</v>
      </c>
      <c r="J619" s="1" t="s">
        <v>74</v>
      </c>
      <c r="K619" s="1" t="s">
        <v>14</v>
      </c>
      <c r="L619" s="1" t="s">
        <v>12</v>
      </c>
      <c r="M619" s="1" t="s">
        <v>12</v>
      </c>
      <c r="N619" s="1">
        <v>27.12</v>
      </c>
      <c r="O619" s="1" t="s">
        <v>31</v>
      </c>
      <c r="P619" s="1" t="s">
        <v>37</v>
      </c>
      <c r="Q619" s="1" t="s">
        <v>16</v>
      </c>
      <c r="R619" s="1" t="str">
        <f>IF(N619="","",VLOOKUP(N619,Prior_levels,2,TRUE))</f>
        <v>M</v>
      </c>
    </row>
    <row r="620" spans="1:18" x14ac:dyDescent="0.2">
      <c r="A620" s="1" t="s">
        <v>91</v>
      </c>
      <c r="B620" s="1" t="s">
        <v>12</v>
      </c>
      <c r="C620" s="2">
        <v>41155</v>
      </c>
      <c r="D620" s="1">
        <v>10</v>
      </c>
      <c r="E620" s="1" t="s">
        <v>39</v>
      </c>
      <c r="I620" s="1" t="s">
        <v>12</v>
      </c>
      <c r="J620" s="1" t="s">
        <v>74</v>
      </c>
      <c r="K620" s="1" t="s">
        <v>14</v>
      </c>
      <c r="L620" s="1" t="s">
        <v>12</v>
      </c>
      <c r="M620" s="1" t="s">
        <v>12</v>
      </c>
      <c r="N620" s="1">
        <v>27.12</v>
      </c>
      <c r="O620" s="1" t="s">
        <v>32</v>
      </c>
      <c r="P620" s="1" t="s">
        <v>37</v>
      </c>
      <c r="Q620" s="1" t="s">
        <v>16</v>
      </c>
      <c r="R620" s="1" t="str">
        <f>IF(N620="","",VLOOKUP(N620,Prior_levels,2,TRUE))</f>
        <v>M</v>
      </c>
    </row>
    <row r="621" spans="1:18" x14ac:dyDescent="0.2">
      <c r="A621" s="1" t="s">
        <v>92</v>
      </c>
      <c r="B621" s="1" t="s">
        <v>10</v>
      </c>
      <c r="C621" s="2">
        <v>41155</v>
      </c>
      <c r="D621" s="1">
        <v>10</v>
      </c>
      <c r="E621" s="1" t="s">
        <v>39</v>
      </c>
      <c r="F621" s="1" t="s">
        <v>28</v>
      </c>
      <c r="H621" s="1" t="s">
        <v>48</v>
      </c>
      <c r="I621" s="1" t="s">
        <v>12</v>
      </c>
      <c r="J621" s="1" t="s">
        <v>93</v>
      </c>
      <c r="K621" s="1" t="s">
        <v>14</v>
      </c>
      <c r="L621" s="1" t="s">
        <v>12</v>
      </c>
      <c r="M621" s="1" t="s">
        <v>12</v>
      </c>
      <c r="N621" s="1">
        <v>24.12</v>
      </c>
      <c r="O621" s="1" t="s">
        <v>15</v>
      </c>
      <c r="P621" s="1">
        <v>4.2</v>
      </c>
      <c r="Q621" s="1" t="s">
        <v>16</v>
      </c>
      <c r="R621" s="1" t="str">
        <f>IF(N621="","",VLOOKUP(N621,Prior_levels,2,TRUE))</f>
        <v>M</v>
      </c>
    </row>
    <row r="622" spans="1:18" x14ac:dyDescent="0.2">
      <c r="A622" s="1" t="s">
        <v>92</v>
      </c>
      <c r="B622" s="1" t="s">
        <v>10</v>
      </c>
      <c r="C622" s="2">
        <v>41155</v>
      </c>
      <c r="D622" s="1">
        <v>10</v>
      </c>
      <c r="E622" s="1" t="s">
        <v>39</v>
      </c>
      <c r="F622" s="1" t="s">
        <v>28</v>
      </c>
      <c r="H622" s="1" t="s">
        <v>48</v>
      </c>
      <c r="I622" s="1" t="s">
        <v>12</v>
      </c>
      <c r="J622" s="1" t="s">
        <v>93</v>
      </c>
      <c r="K622" s="1" t="s">
        <v>14</v>
      </c>
      <c r="L622" s="1" t="s">
        <v>12</v>
      </c>
      <c r="M622" s="1" t="s">
        <v>12</v>
      </c>
      <c r="N622" s="1">
        <v>24.12</v>
      </c>
      <c r="O622" s="1" t="s">
        <v>17</v>
      </c>
      <c r="P622" s="1">
        <v>0.59</v>
      </c>
      <c r="Q622" s="1" t="s">
        <v>16</v>
      </c>
      <c r="R622" s="1" t="str">
        <f>IF(N622="","",VLOOKUP(N622,Prior_levels,2,TRUE))</f>
        <v>M</v>
      </c>
    </row>
    <row r="623" spans="1:18" x14ac:dyDescent="0.2">
      <c r="A623" s="1" t="s">
        <v>92</v>
      </c>
      <c r="B623" s="1" t="s">
        <v>10</v>
      </c>
      <c r="C623" s="2">
        <v>41155</v>
      </c>
      <c r="D623" s="1">
        <v>10</v>
      </c>
      <c r="E623" s="1" t="s">
        <v>39</v>
      </c>
      <c r="F623" s="1" t="s">
        <v>28</v>
      </c>
      <c r="H623" s="1" t="s">
        <v>48</v>
      </c>
      <c r="I623" s="1" t="s">
        <v>12</v>
      </c>
      <c r="J623" s="1" t="s">
        <v>93</v>
      </c>
      <c r="K623" s="1" t="s">
        <v>14</v>
      </c>
      <c r="L623" s="1" t="s">
        <v>12</v>
      </c>
      <c r="M623" s="1" t="s">
        <v>12</v>
      </c>
      <c r="N623" s="1">
        <v>24.12</v>
      </c>
      <c r="O623" s="1" t="s">
        <v>18</v>
      </c>
      <c r="P623" s="1">
        <v>10</v>
      </c>
      <c r="Q623" s="1" t="s">
        <v>16</v>
      </c>
      <c r="R623" s="1" t="str">
        <f>IF(N623="","",VLOOKUP(N623,Prior_levels,2,TRUE))</f>
        <v>M</v>
      </c>
    </row>
    <row r="624" spans="1:18" x14ac:dyDescent="0.2">
      <c r="A624" s="1" t="s">
        <v>92</v>
      </c>
      <c r="B624" s="1" t="s">
        <v>10</v>
      </c>
      <c r="C624" s="2">
        <v>41155</v>
      </c>
      <c r="D624" s="1">
        <v>10</v>
      </c>
      <c r="E624" s="1" t="s">
        <v>39</v>
      </c>
      <c r="F624" s="1" t="s">
        <v>28</v>
      </c>
      <c r="H624" s="1" t="s">
        <v>48</v>
      </c>
      <c r="I624" s="1" t="s">
        <v>12</v>
      </c>
      <c r="J624" s="1" t="s">
        <v>93</v>
      </c>
      <c r="K624" s="1" t="s">
        <v>14</v>
      </c>
      <c r="L624" s="1" t="s">
        <v>12</v>
      </c>
      <c r="M624" s="1" t="s">
        <v>12</v>
      </c>
      <c r="N624" s="1">
        <v>24.12</v>
      </c>
      <c r="O624" s="1" t="s">
        <v>19</v>
      </c>
      <c r="P624" s="1">
        <v>8</v>
      </c>
      <c r="Q624" s="1" t="s">
        <v>16</v>
      </c>
      <c r="R624" s="1" t="str">
        <f>IF(N624="","",VLOOKUP(N624,Prior_levels,2,TRUE))</f>
        <v>M</v>
      </c>
    </row>
    <row r="625" spans="1:18" x14ac:dyDescent="0.2">
      <c r="A625" s="1" t="s">
        <v>92</v>
      </c>
      <c r="B625" s="1" t="s">
        <v>10</v>
      </c>
      <c r="C625" s="2">
        <v>41155</v>
      </c>
      <c r="D625" s="1">
        <v>10</v>
      </c>
      <c r="E625" s="1" t="s">
        <v>39</v>
      </c>
      <c r="F625" s="1" t="s">
        <v>28</v>
      </c>
      <c r="H625" s="1" t="s">
        <v>48</v>
      </c>
      <c r="I625" s="1" t="s">
        <v>12</v>
      </c>
      <c r="J625" s="1" t="s">
        <v>93</v>
      </c>
      <c r="K625" s="1" t="s">
        <v>14</v>
      </c>
      <c r="L625" s="1" t="s">
        <v>12</v>
      </c>
      <c r="M625" s="1" t="s">
        <v>12</v>
      </c>
      <c r="N625" s="1">
        <v>24.12</v>
      </c>
      <c r="O625" s="1" t="s">
        <v>20</v>
      </c>
      <c r="P625" s="1">
        <v>11</v>
      </c>
      <c r="Q625" s="1" t="s">
        <v>16</v>
      </c>
      <c r="R625" s="1" t="str">
        <f>IF(N625="","",VLOOKUP(N625,Prior_levels,2,TRUE))</f>
        <v>M</v>
      </c>
    </row>
    <row r="626" spans="1:18" x14ac:dyDescent="0.2">
      <c r="A626" s="1" t="s">
        <v>92</v>
      </c>
      <c r="B626" s="1" t="s">
        <v>10</v>
      </c>
      <c r="C626" s="2">
        <v>41155</v>
      </c>
      <c r="D626" s="1">
        <v>10</v>
      </c>
      <c r="E626" s="1" t="s">
        <v>39</v>
      </c>
      <c r="F626" s="1" t="s">
        <v>28</v>
      </c>
      <c r="H626" s="1" t="s">
        <v>48</v>
      </c>
      <c r="I626" s="1" t="s">
        <v>12</v>
      </c>
      <c r="J626" s="1" t="s">
        <v>93</v>
      </c>
      <c r="K626" s="1" t="s">
        <v>14</v>
      </c>
      <c r="L626" s="1" t="s">
        <v>12</v>
      </c>
      <c r="M626" s="1" t="s">
        <v>12</v>
      </c>
      <c r="N626" s="1">
        <v>24.12</v>
      </c>
      <c r="O626" s="1" t="s">
        <v>21</v>
      </c>
      <c r="P626" s="1">
        <v>13</v>
      </c>
      <c r="Q626" s="1" t="s">
        <v>16</v>
      </c>
      <c r="R626" s="1" t="str">
        <f>IF(N626="","",VLOOKUP(N626,Prior_levels,2,TRUE))</f>
        <v>M</v>
      </c>
    </row>
    <row r="627" spans="1:18" x14ac:dyDescent="0.2">
      <c r="A627" s="1" t="s">
        <v>92</v>
      </c>
      <c r="B627" s="1" t="s">
        <v>10</v>
      </c>
      <c r="C627" s="2">
        <v>41155</v>
      </c>
      <c r="D627" s="1">
        <v>10</v>
      </c>
      <c r="E627" s="1" t="s">
        <v>39</v>
      </c>
      <c r="F627" s="1" t="s">
        <v>28</v>
      </c>
      <c r="H627" s="1" t="s">
        <v>48</v>
      </c>
      <c r="I627" s="1" t="s">
        <v>12</v>
      </c>
      <c r="J627" s="1" t="s">
        <v>93</v>
      </c>
      <c r="K627" s="1" t="s">
        <v>14</v>
      </c>
      <c r="L627" s="1" t="s">
        <v>12</v>
      </c>
      <c r="M627" s="1" t="s">
        <v>12</v>
      </c>
      <c r="N627" s="1">
        <v>24.12</v>
      </c>
      <c r="O627" s="1" t="s">
        <v>22</v>
      </c>
      <c r="P627" s="1">
        <v>0.68</v>
      </c>
      <c r="Q627" s="1" t="s">
        <v>16</v>
      </c>
      <c r="R627" s="1" t="str">
        <f>IF(N627="","",VLOOKUP(N627,Prior_levels,2,TRUE))</f>
        <v>M</v>
      </c>
    </row>
    <row r="628" spans="1:18" x14ac:dyDescent="0.2">
      <c r="A628" s="1" t="s">
        <v>92</v>
      </c>
      <c r="B628" s="1" t="s">
        <v>10</v>
      </c>
      <c r="C628" s="2">
        <v>41155</v>
      </c>
      <c r="D628" s="1">
        <v>10</v>
      </c>
      <c r="E628" s="1" t="s">
        <v>39</v>
      </c>
      <c r="F628" s="1" t="s">
        <v>28</v>
      </c>
      <c r="H628" s="1" t="s">
        <v>48</v>
      </c>
      <c r="I628" s="1" t="s">
        <v>12</v>
      </c>
      <c r="J628" s="1" t="s">
        <v>93</v>
      </c>
      <c r="K628" s="1" t="s">
        <v>14</v>
      </c>
      <c r="L628" s="1" t="s">
        <v>12</v>
      </c>
      <c r="M628" s="1" t="s">
        <v>12</v>
      </c>
      <c r="N628" s="1">
        <v>24.12</v>
      </c>
      <c r="O628" s="1" t="s">
        <v>23</v>
      </c>
      <c r="P628" s="1">
        <v>0.34</v>
      </c>
      <c r="Q628" s="1" t="s">
        <v>16</v>
      </c>
      <c r="R628" s="1" t="str">
        <f>IF(N628="","",VLOOKUP(N628,Prior_levels,2,TRUE))</f>
        <v>M</v>
      </c>
    </row>
    <row r="629" spans="1:18" x14ac:dyDescent="0.2">
      <c r="A629" s="1" t="s">
        <v>92</v>
      </c>
      <c r="B629" s="1" t="s">
        <v>10</v>
      </c>
      <c r="C629" s="2">
        <v>41155</v>
      </c>
      <c r="D629" s="1">
        <v>10</v>
      </c>
      <c r="E629" s="1" t="s">
        <v>39</v>
      </c>
      <c r="F629" s="1" t="s">
        <v>28</v>
      </c>
      <c r="H629" s="1" t="s">
        <v>48</v>
      </c>
      <c r="I629" s="1" t="s">
        <v>12</v>
      </c>
      <c r="J629" s="1" t="s">
        <v>93</v>
      </c>
      <c r="K629" s="1" t="s">
        <v>14</v>
      </c>
      <c r="L629" s="1" t="s">
        <v>12</v>
      </c>
      <c r="M629" s="1" t="s">
        <v>12</v>
      </c>
      <c r="N629" s="1">
        <v>24.12</v>
      </c>
      <c r="O629" s="1" t="s">
        <v>24</v>
      </c>
      <c r="P629" s="1">
        <v>3.74</v>
      </c>
      <c r="Q629" s="1" t="s">
        <v>16</v>
      </c>
      <c r="R629" s="1" t="str">
        <f>IF(N629="","",VLOOKUP(N629,Prior_levels,2,TRUE))</f>
        <v>M</v>
      </c>
    </row>
    <row r="630" spans="1:18" x14ac:dyDescent="0.2">
      <c r="A630" s="1" t="s">
        <v>92</v>
      </c>
      <c r="B630" s="1" t="s">
        <v>10</v>
      </c>
      <c r="C630" s="2">
        <v>41155</v>
      </c>
      <c r="D630" s="1">
        <v>10</v>
      </c>
      <c r="E630" s="1" t="s">
        <v>39</v>
      </c>
      <c r="F630" s="1" t="s">
        <v>28</v>
      </c>
      <c r="H630" s="1" t="s">
        <v>48</v>
      </c>
      <c r="I630" s="1" t="s">
        <v>12</v>
      </c>
      <c r="J630" s="1" t="s">
        <v>93</v>
      </c>
      <c r="K630" s="1" t="s">
        <v>14</v>
      </c>
      <c r="L630" s="1" t="s">
        <v>12</v>
      </c>
      <c r="M630" s="1" t="s">
        <v>12</v>
      </c>
      <c r="N630" s="1">
        <v>24.12</v>
      </c>
      <c r="O630" s="1" t="s">
        <v>25</v>
      </c>
      <c r="P630" s="1">
        <v>0.08</v>
      </c>
      <c r="Q630" s="1" t="s">
        <v>16</v>
      </c>
      <c r="R630" s="1" t="str">
        <f>IF(N630="","",VLOOKUP(N630,Prior_levels,2,TRUE))</f>
        <v>M</v>
      </c>
    </row>
    <row r="631" spans="1:18" x14ac:dyDescent="0.2">
      <c r="A631" s="1" t="s">
        <v>92</v>
      </c>
      <c r="B631" s="1" t="s">
        <v>10</v>
      </c>
      <c r="C631" s="2">
        <v>41155</v>
      </c>
      <c r="D631" s="1">
        <v>10</v>
      </c>
      <c r="E631" s="1" t="s">
        <v>39</v>
      </c>
      <c r="F631" s="1" t="s">
        <v>28</v>
      </c>
      <c r="H631" s="1" t="s">
        <v>48</v>
      </c>
      <c r="I631" s="1" t="s">
        <v>12</v>
      </c>
      <c r="J631" s="1" t="s">
        <v>93</v>
      </c>
      <c r="K631" s="1" t="s">
        <v>14</v>
      </c>
      <c r="L631" s="1" t="s">
        <v>12</v>
      </c>
      <c r="M631" s="1" t="s">
        <v>12</v>
      </c>
      <c r="N631" s="1">
        <v>24.12</v>
      </c>
      <c r="O631" s="1" t="s">
        <v>26</v>
      </c>
      <c r="P631" s="1">
        <v>6</v>
      </c>
      <c r="Q631" s="1" t="s">
        <v>16</v>
      </c>
      <c r="R631" s="1" t="str">
        <f>IF(N631="","",VLOOKUP(N631,Prior_levels,2,TRUE))</f>
        <v>M</v>
      </c>
    </row>
    <row r="632" spans="1:18" x14ac:dyDescent="0.2">
      <c r="A632" s="1" t="s">
        <v>92</v>
      </c>
      <c r="B632" s="1" t="s">
        <v>10</v>
      </c>
      <c r="C632" s="2">
        <v>41155</v>
      </c>
      <c r="D632" s="1">
        <v>10</v>
      </c>
      <c r="E632" s="1" t="s">
        <v>39</v>
      </c>
      <c r="F632" s="1" t="s">
        <v>28</v>
      </c>
      <c r="H632" s="1" t="s">
        <v>48</v>
      </c>
      <c r="I632" s="1" t="s">
        <v>12</v>
      </c>
      <c r="J632" s="1" t="s">
        <v>93</v>
      </c>
      <c r="K632" s="1" t="s">
        <v>14</v>
      </c>
      <c r="L632" s="1" t="s">
        <v>12</v>
      </c>
      <c r="M632" s="1" t="s">
        <v>12</v>
      </c>
      <c r="N632" s="1">
        <v>24.12</v>
      </c>
      <c r="O632" s="1" t="s">
        <v>32</v>
      </c>
      <c r="P632" s="1" t="s">
        <v>28</v>
      </c>
      <c r="Q632" s="1" t="s">
        <v>16</v>
      </c>
      <c r="R632" s="1" t="str">
        <f>IF(N632="","",VLOOKUP(N632,Prior_levels,2,TRUE))</f>
        <v>M</v>
      </c>
    </row>
    <row r="633" spans="1:18" x14ac:dyDescent="0.2">
      <c r="A633" s="1" t="s">
        <v>92</v>
      </c>
      <c r="B633" s="1" t="s">
        <v>10</v>
      </c>
      <c r="C633" s="2">
        <v>41155</v>
      </c>
      <c r="D633" s="1">
        <v>10</v>
      </c>
      <c r="E633" s="1" t="s">
        <v>39</v>
      </c>
      <c r="F633" s="1" t="s">
        <v>28</v>
      </c>
      <c r="H633" s="1" t="s">
        <v>48</v>
      </c>
      <c r="I633" s="1" t="s">
        <v>12</v>
      </c>
      <c r="J633" s="1" t="s">
        <v>93</v>
      </c>
      <c r="K633" s="1" t="s">
        <v>14</v>
      </c>
      <c r="L633" s="1" t="s">
        <v>12</v>
      </c>
      <c r="M633" s="1" t="s">
        <v>12</v>
      </c>
      <c r="N633" s="1">
        <v>24.12</v>
      </c>
      <c r="O633" s="1" t="s">
        <v>27</v>
      </c>
      <c r="P633" s="1" t="s">
        <v>28</v>
      </c>
      <c r="Q633" s="1" t="s">
        <v>16</v>
      </c>
      <c r="R633" s="1" t="str">
        <f>IF(N633="","",VLOOKUP(N633,Prior_levels,2,TRUE))</f>
        <v>M</v>
      </c>
    </row>
    <row r="634" spans="1:18" x14ac:dyDescent="0.2">
      <c r="A634" s="1" t="s">
        <v>92</v>
      </c>
      <c r="B634" s="1" t="s">
        <v>10</v>
      </c>
      <c r="C634" s="2">
        <v>41155</v>
      </c>
      <c r="D634" s="1">
        <v>10</v>
      </c>
      <c r="E634" s="1" t="s">
        <v>39</v>
      </c>
      <c r="F634" s="1" t="s">
        <v>28</v>
      </c>
      <c r="H634" s="1" t="s">
        <v>48</v>
      </c>
      <c r="I634" s="1" t="s">
        <v>12</v>
      </c>
      <c r="J634" s="1" t="s">
        <v>93</v>
      </c>
      <c r="K634" s="1" t="s">
        <v>14</v>
      </c>
      <c r="L634" s="1" t="s">
        <v>12</v>
      </c>
      <c r="M634" s="1" t="s">
        <v>12</v>
      </c>
      <c r="N634" s="1">
        <v>24.12</v>
      </c>
      <c r="O634" s="1" t="s">
        <v>29</v>
      </c>
      <c r="P634" s="1" t="s">
        <v>37</v>
      </c>
      <c r="Q634" s="1" t="s">
        <v>16</v>
      </c>
      <c r="R634" s="1" t="str">
        <f>IF(N634="","",VLOOKUP(N634,Prior_levels,2,TRUE))</f>
        <v>M</v>
      </c>
    </row>
    <row r="635" spans="1:18" x14ac:dyDescent="0.2">
      <c r="A635" s="1" t="s">
        <v>92</v>
      </c>
      <c r="B635" s="1" t="s">
        <v>10</v>
      </c>
      <c r="C635" s="2">
        <v>41155</v>
      </c>
      <c r="D635" s="1">
        <v>10</v>
      </c>
      <c r="E635" s="1" t="s">
        <v>39</v>
      </c>
      <c r="F635" s="1" t="s">
        <v>28</v>
      </c>
      <c r="H635" s="1" t="s">
        <v>48</v>
      </c>
      <c r="I635" s="1" t="s">
        <v>12</v>
      </c>
      <c r="J635" s="1" t="s">
        <v>93</v>
      </c>
      <c r="K635" s="1" t="s">
        <v>14</v>
      </c>
      <c r="L635" s="1" t="s">
        <v>12</v>
      </c>
      <c r="M635" s="1" t="s">
        <v>12</v>
      </c>
      <c r="N635" s="1">
        <v>24.12</v>
      </c>
      <c r="O635" s="1" t="s">
        <v>30</v>
      </c>
      <c r="P635" s="1" t="s">
        <v>28</v>
      </c>
      <c r="Q635" s="1" t="s">
        <v>16</v>
      </c>
      <c r="R635" s="1" t="str">
        <f>IF(N635="","",VLOOKUP(N635,Prior_levels,2,TRUE))</f>
        <v>M</v>
      </c>
    </row>
    <row r="636" spans="1:18" x14ac:dyDescent="0.2">
      <c r="A636" s="1" t="s">
        <v>92</v>
      </c>
      <c r="B636" s="1" t="s">
        <v>10</v>
      </c>
      <c r="C636" s="2">
        <v>41155</v>
      </c>
      <c r="D636" s="1">
        <v>10</v>
      </c>
      <c r="E636" s="1" t="s">
        <v>39</v>
      </c>
      <c r="F636" s="1" t="s">
        <v>28</v>
      </c>
      <c r="H636" s="1" t="s">
        <v>48</v>
      </c>
      <c r="I636" s="1" t="s">
        <v>12</v>
      </c>
      <c r="J636" s="1" t="s">
        <v>93</v>
      </c>
      <c r="K636" s="1" t="s">
        <v>14</v>
      </c>
      <c r="L636" s="1" t="s">
        <v>12</v>
      </c>
      <c r="M636" s="1" t="s">
        <v>12</v>
      </c>
      <c r="N636" s="1">
        <v>24.12</v>
      </c>
      <c r="O636" s="1" t="s">
        <v>31</v>
      </c>
      <c r="P636" s="1" t="s">
        <v>28</v>
      </c>
      <c r="Q636" s="1" t="s">
        <v>16</v>
      </c>
      <c r="R636" s="1" t="str">
        <f>IF(N636="","",VLOOKUP(N636,Prior_levels,2,TRUE))</f>
        <v>M</v>
      </c>
    </row>
    <row r="637" spans="1:18" x14ac:dyDescent="0.2">
      <c r="A637" s="1" t="s">
        <v>94</v>
      </c>
      <c r="B637" s="1" t="s">
        <v>12</v>
      </c>
      <c r="C637" s="2">
        <v>41155</v>
      </c>
      <c r="D637" s="1">
        <v>10</v>
      </c>
      <c r="E637" s="1" t="s">
        <v>42</v>
      </c>
      <c r="I637" s="1" t="s">
        <v>12</v>
      </c>
      <c r="J637" s="1" t="s">
        <v>40</v>
      </c>
      <c r="K637" s="1" t="s">
        <v>14</v>
      </c>
      <c r="L637" s="1" t="s">
        <v>12</v>
      </c>
      <c r="M637" s="1" t="s">
        <v>12</v>
      </c>
      <c r="N637" s="1">
        <v>27.12</v>
      </c>
      <c r="O637" s="1" t="s">
        <v>15</v>
      </c>
      <c r="P637" s="1">
        <v>4.9000000000000004</v>
      </c>
      <c r="Q637" s="1" t="s">
        <v>16</v>
      </c>
      <c r="R637" s="1" t="str">
        <f>IF(N637="","",VLOOKUP(N637,Prior_levels,2,TRUE))</f>
        <v>M</v>
      </c>
    </row>
    <row r="638" spans="1:18" x14ac:dyDescent="0.2">
      <c r="A638" s="1" t="s">
        <v>94</v>
      </c>
      <c r="B638" s="1" t="s">
        <v>12</v>
      </c>
      <c r="C638" s="2">
        <v>41155</v>
      </c>
      <c r="D638" s="1">
        <v>10</v>
      </c>
      <c r="E638" s="1" t="s">
        <v>42</v>
      </c>
      <c r="I638" s="1" t="s">
        <v>12</v>
      </c>
      <c r="J638" s="1" t="s">
        <v>40</v>
      </c>
      <c r="K638" s="1" t="s">
        <v>14</v>
      </c>
      <c r="L638" s="1" t="s">
        <v>12</v>
      </c>
      <c r="M638" s="1" t="s">
        <v>12</v>
      </c>
      <c r="N638" s="1">
        <v>27.12</v>
      </c>
      <c r="O638" s="1" t="s">
        <v>17</v>
      </c>
      <c r="P638" s="1">
        <v>0.35</v>
      </c>
      <c r="Q638" s="1" t="s">
        <v>16</v>
      </c>
      <c r="R638" s="1" t="str">
        <f>IF(N638="","",VLOOKUP(N638,Prior_levels,2,TRUE))</f>
        <v>M</v>
      </c>
    </row>
    <row r="639" spans="1:18" x14ac:dyDescent="0.2">
      <c r="A639" s="1" t="s">
        <v>94</v>
      </c>
      <c r="B639" s="1" t="s">
        <v>12</v>
      </c>
      <c r="C639" s="2">
        <v>41155</v>
      </c>
      <c r="D639" s="1">
        <v>10</v>
      </c>
      <c r="E639" s="1" t="s">
        <v>42</v>
      </c>
      <c r="I639" s="1" t="s">
        <v>12</v>
      </c>
      <c r="J639" s="1" t="s">
        <v>40</v>
      </c>
      <c r="K639" s="1" t="s">
        <v>14</v>
      </c>
      <c r="L639" s="1" t="s">
        <v>12</v>
      </c>
      <c r="M639" s="1" t="s">
        <v>12</v>
      </c>
      <c r="N639" s="1">
        <v>27.12</v>
      </c>
      <c r="O639" s="1" t="s">
        <v>18</v>
      </c>
      <c r="P639" s="1">
        <v>8</v>
      </c>
      <c r="Q639" s="1" t="s">
        <v>16</v>
      </c>
      <c r="R639" s="1" t="str">
        <f>IF(N639="","",VLOOKUP(N639,Prior_levels,2,TRUE))</f>
        <v>M</v>
      </c>
    </row>
    <row r="640" spans="1:18" x14ac:dyDescent="0.2">
      <c r="A640" s="1" t="s">
        <v>94</v>
      </c>
      <c r="B640" s="1" t="s">
        <v>12</v>
      </c>
      <c r="C640" s="2">
        <v>41155</v>
      </c>
      <c r="D640" s="1">
        <v>10</v>
      </c>
      <c r="E640" s="1" t="s">
        <v>42</v>
      </c>
      <c r="I640" s="1" t="s">
        <v>12</v>
      </c>
      <c r="J640" s="1" t="s">
        <v>40</v>
      </c>
      <c r="K640" s="1" t="s">
        <v>14</v>
      </c>
      <c r="L640" s="1" t="s">
        <v>12</v>
      </c>
      <c r="M640" s="1" t="s">
        <v>12</v>
      </c>
      <c r="N640" s="1">
        <v>27.12</v>
      </c>
      <c r="O640" s="1" t="s">
        <v>19</v>
      </c>
      <c r="P640" s="1">
        <v>12</v>
      </c>
      <c r="Q640" s="1" t="s">
        <v>16</v>
      </c>
      <c r="R640" s="1" t="str">
        <f>IF(N640="","",VLOOKUP(N640,Prior_levels,2,TRUE))</f>
        <v>M</v>
      </c>
    </row>
    <row r="641" spans="1:18" x14ac:dyDescent="0.2">
      <c r="A641" s="1" t="s">
        <v>94</v>
      </c>
      <c r="B641" s="1" t="s">
        <v>12</v>
      </c>
      <c r="C641" s="2">
        <v>41155</v>
      </c>
      <c r="D641" s="1">
        <v>10</v>
      </c>
      <c r="E641" s="1" t="s">
        <v>42</v>
      </c>
      <c r="I641" s="1" t="s">
        <v>12</v>
      </c>
      <c r="J641" s="1" t="s">
        <v>40</v>
      </c>
      <c r="K641" s="1" t="s">
        <v>14</v>
      </c>
      <c r="L641" s="1" t="s">
        <v>12</v>
      </c>
      <c r="M641" s="1" t="s">
        <v>12</v>
      </c>
      <c r="N641" s="1">
        <v>27.12</v>
      </c>
      <c r="O641" s="1" t="s">
        <v>20</v>
      </c>
      <c r="P641" s="1">
        <v>16.5</v>
      </c>
      <c r="Q641" s="1" t="s">
        <v>16</v>
      </c>
      <c r="R641" s="1" t="str">
        <f>IF(N641="","",VLOOKUP(N641,Prior_levels,2,TRUE))</f>
        <v>M</v>
      </c>
    </row>
    <row r="642" spans="1:18" x14ac:dyDescent="0.2">
      <c r="A642" s="1" t="s">
        <v>94</v>
      </c>
      <c r="B642" s="1" t="s">
        <v>12</v>
      </c>
      <c r="C642" s="2">
        <v>41155</v>
      </c>
      <c r="D642" s="1">
        <v>10</v>
      </c>
      <c r="E642" s="1" t="s">
        <v>42</v>
      </c>
      <c r="I642" s="1" t="s">
        <v>12</v>
      </c>
      <c r="J642" s="1" t="s">
        <v>40</v>
      </c>
      <c r="K642" s="1" t="s">
        <v>14</v>
      </c>
      <c r="L642" s="1" t="s">
        <v>12</v>
      </c>
      <c r="M642" s="1" t="s">
        <v>12</v>
      </c>
      <c r="N642" s="1">
        <v>27.12</v>
      </c>
      <c r="O642" s="1" t="s">
        <v>21</v>
      </c>
      <c r="P642" s="1">
        <v>12.5</v>
      </c>
      <c r="Q642" s="1" t="s">
        <v>16</v>
      </c>
      <c r="R642" s="1" t="str">
        <f>IF(N642="","",VLOOKUP(N642,Prior_levels,2,TRUE))</f>
        <v>M</v>
      </c>
    </row>
    <row r="643" spans="1:18" x14ac:dyDescent="0.2">
      <c r="A643" s="1" t="s">
        <v>94</v>
      </c>
      <c r="B643" s="1" t="s">
        <v>12</v>
      </c>
      <c r="C643" s="2">
        <v>41155</v>
      </c>
      <c r="D643" s="1">
        <v>10</v>
      </c>
      <c r="E643" s="1" t="s">
        <v>42</v>
      </c>
      <c r="I643" s="1" t="s">
        <v>12</v>
      </c>
      <c r="J643" s="1" t="s">
        <v>40</v>
      </c>
      <c r="K643" s="1" t="s">
        <v>14</v>
      </c>
      <c r="L643" s="1" t="s">
        <v>12</v>
      </c>
      <c r="M643" s="1" t="s">
        <v>12</v>
      </c>
      <c r="N643" s="1">
        <v>27.12</v>
      </c>
      <c r="O643" s="1" t="s">
        <v>22</v>
      </c>
      <c r="P643" s="1">
        <v>-1.05</v>
      </c>
      <c r="Q643" s="1" t="s">
        <v>16</v>
      </c>
      <c r="R643" s="1" t="str">
        <f>IF(N643="","",VLOOKUP(N643,Prior_levels,2,TRUE))</f>
        <v>M</v>
      </c>
    </row>
    <row r="644" spans="1:18" x14ac:dyDescent="0.2">
      <c r="A644" s="1" t="s">
        <v>94</v>
      </c>
      <c r="B644" s="1" t="s">
        <v>12</v>
      </c>
      <c r="C644" s="2">
        <v>41155</v>
      </c>
      <c r="D644" s="1">
        <v>10</v>
      </c>
      <c r="E644" s="1" t="s">
        <v>42</v>
      </c>
      <c r="I644" s="1" t="s">
        <v>12</v>
      </c>
      <c r="J644" s="1" t="s">
        <v>40</v>
      </c>
      <c r="K644" s="1" t="s">
        <v>14</v>
      </c>
      <c r="L644" s="1" t="s">
        <v>12</v>
      </c>
      <c r="M644" s="1" t="s">
        <v>12</v>
      </c>
      <c r="N644" s="1">
        <v>27.12</v>
      </c>
      <c r="O644" s="1" t="s">
        <v>23</v>
      </c>
      <c r="P644" s="1">
        <v>1.36</v>
      </c>
      <c r="Q644" s="1" t="s">
        <v>16</v>
      </c>
      <c r="R644" s="1" t="str">
        <f>IF(N644="","",VLOOKUP(N644,Prior_levels,2,TRUE))</f>
        <v>M</v>
      </c>
    </row>
    <row r="645" spans="1:18" x14ac:dyDescent="0.2">
      <c r="A645" s="1" t="s">
        <v>94</v>
      </c>
      <c r="B645" s="1" t="s">
        <v>12</v>
      </c>
      <c r="C645" s="2">
        <v>41155</v>
      </c>
      <c r="D645" s="1">
        <v>10</v>
      </c>
      <c r="E645" s="1" t="s">
        <v>42</v>
      </c>
      <c r="I645" s="1" t="s">
        <v>12</v>
      </c>
      <c r="J645" s="1" t="s">
        <v>40</v>
      </c>
      <c r="K645" s="1" t="s">
        <v>14</v>
      </c>
      <c r="L645" s="1" t="s">
        <v>12</v>
      </c>
      <c r="M645" s="1" t="s">
        <v>12</v>
      </c>
      <c r="N645" s="1">
        <v>27.12</v>
      </c>
      <c r="O645" s="1" t="s">
        <v>24</v>
      </c>
      <c r="P645" s="1">
        <v>5.25</v>
      </c>
      <c r="Q645" s="1" t="s">
        <v>16</v>
      </c>
      <c r="R645" s="1" t="str">
        <f>IF(N645="","",VLOOKUP(N645,Prior_levels,2,TRUE))</f>
        <v>M</v>
      </c>
    </row>
    <row r="646" spans="1:18" x14ac:dyDescent="0.2">
      <c r="A646" s="1" t="s">
        <v>94</v>
      </c>
      <c r="B646" s="1" t="s">
        <v>12</v>
      </c>
      <c r="C646" s="2">
        <v>41155</v>
      </c>
      <c r="D646" s="1">
        <v>10</v>
      </c>
      <c r="E646" s="1" t="s">
        <v>42</v>
      </c>
      <c r="I646" s="1" t="s">
        <v>12</v>
      </c>
      <c r="J646" s="1" t="s">
        <v>40</v>
      </c>
      <c r="K646" s="1" t="s">
        <v>14</v>
      </c>
      <c r="L646" s="1" t="s">
        <v>12</v>
      </c>
      <c r="M646" s="1" t="s">
        <v>12</v>
      </c>
      <c r="N646" s="1">
        <v>27.12</v>
      </c>
      <c r="O646" s="1" t="s">
        <v>25</v>
      </c>
      <c r="P646" s="1">
        <v>-2.39</v>
      </c>
      <c r="Q646" s="1" t="s">
        <v>16</v>
      </c>
      <c r="R646" s="1" t="str">
        <f>IF(N646="","",VLOOKUP(N646,Prior_levels,2,TRUE))</f>
        <v>M</v>
      </c>
    </row>
    <row r="647" spans="1:18" x14ac:dyDescent="0.2">
      <c r="A647" s="1" t="s">
        <v>94</v>
      </c>
      <c r="B647" s="1" t="s">
        <v>12</v>
      </c>
      <c r="C647" s="2">
        <v>41155</v>
      </c>
      <c r="D647" s="1">
        <v>10</v>
      </c>
      <c r="E647" s="1" t="s">
        <v>42</v>
      </c>
      <c r="I647" s="1" t="s">
        <v>12</v>
      </c>
      <c r="J647" s="1" t="s">
        <v>40</v>
      </c>
      <c r="K647" s="1" t="s">
        <v>14</v>
      </c>
      <c r="L647" s="1" t="s">
        <v>12</v>
      </c>
      <c r="M647" s="1" t="s">
        <v>12</v>
      </c>
      <c r="N647" s="1">
        <v>27.12</v>
      </c>
      <c r="O647" s="1" t="s">
        <v>26</v>
      </c>
      <c r="P647" s="1">
        <v>5</v>
      </c>
      <c r="Q647" s="1" t="s">
        <v>16</v>
      </c>
      <c r="R647" s="1" t="str">
        <f>IF(N647="","",VLOOKUP(N647,Prior_levels,2,TRUE))</f>
        <v>M</v>
      </c>
    </row>
    <row r="648" spans="1:18" x14ac:dyDescent="0.2">
      <c r="A648" s="1" t="s">
        <v>94</v>
      </c>
      <c r="B648" s="1" t="s">
        <v>12</v>
      </c>
      <c r="C648" s="2">
        <v>41155</v>
      </c>
      <c r="D648" s="1">
        <v>10</v>
      </c>
      <c r="E648" s="1" t="s">
        <v>42</v>
      </c>
      <c r="I648" s="1" t="s">
        <v>12</v>
      </c>
      <c r="J648" s="1" t="s">
        <v>40</v>
      </c>
      <c r="K648" s="1" t="s">
        <v>14</v>
      </c>
      <c r="L648" s="1" t="s">
        <v>12</v>
      </c>
      <c r="M648" s="1" t="s">
        <v>12</v>
      </c>
      <c r="N648" s="1">
        <v>27.12</v>
      </c>
      <c r="O648" s="1" t="s">
        <v>32</v>
      </c>
      <c r="P648" s="1" t="s">
        <v>28</v>
      </c>
      <c r="Q648" s="1" t="s">
        <v>16</v>
      </c>
      <c r="R648" s="1" t="str">
        <f>IF(N648="","",VLOOKUP(N648,Prior_levels,2,TRUE))</f>
        <v>M</v>
      </c>
    </row>
    <row r="649" spans="1:18" x14ac:dyDescent="0.2">
      <c r="A649" s="1" t="s">
        <v>94</v>
      </c>
      <c r="B649" s="1" t="s">
        <v>12</v>
      </c>
      <c r="C649" s="2">
        <v>41155</v>
      </c>
      <c r="D649" s="1">
        <v>10</v>
      </c>
      <c r="E649" s="1" t="s">
        <v>42</v>
      </c>
      <c r="I649" s="1" t="s">
        <v>12</v>
      </c>
      <c r="J649" s="1" t="s">
        <v>40</v>
      </c>
      <c r="K649" s="1" t="s">
        <v>14</v>
      </c>
      <c r="L649" s="1" t="s">
        <v>12</v>
      </c>
      <c r="M649" s="1" t="s">
        <v>12</v>
      </c>
      <c r="N649" s="1">
        <v>27.12</v>
      </c>
      <c r="O649" s="1" t="s">
        <v>27</v>
      </c>
      <c r="P649" s="1" t="s">
        <v>37</v>
      </c>
      <c r="Q649" s="1" t="s">
        <v>16</v>
      </c>
      <c r="R649" s="1" t="str">
        <f>IF(N649="","",VLOOKUP(N649,Prior_levels,2,TRUE))</f>
        <v>M</v>
      </c>
    </row>
    <row r="650" spans="1:18" x14ac:dyDescent="0.2">
      <c r="A650" s="1" t="s">
        <v>94</v>
      </c>
      <c r="B650" s="1" t="s">
        <v>12</v>
      </c>
      <c r="C650" s="2">
        <v>41155</v>
      </c>
      <c r="D650" s="1">
        <v>10</v>
      </c>
      <c r="E650" s="1" t="s">
        <v>42</v>
      </c>
      <c r="I650" s="1" t="s">
        <v>12</v>
      </c>
      <c r="J650" s="1" t="s">
        <v>40</v>
      </c>
      <c r="K650" s="1" t="s">
        <v>14</v>
      </c>
      <c r="L650" s="1" t="s">
        <v>12</v>
      </c>
      <c r="M650" s="1" t="s">
        <v>12</v>
      </c>
      <c r="N650" s="1">
        <v>27.12</v>
      </c>
      <c r="O650" s="1" t="s">
        <v>29</v>
      </c>
      <c r="P650" s="1" t="s">
        <v>28</v>
      </c>
      <c r="Q650" s="1" t="s">
        <v>16</v>
      </c>
      <c r="R650" s="1" t="str">
        <f>IF(N650="","",VLOOKUP(N650,Prior_levels,2,TRUE))</f>
        <v>M</v>
      </c>
    </row>
    <row r="651" spans="1:18" x14ac:dyDescent="0.2">
      <c r="A651" s="1" t="s">
        <v>94</v>
      </c>
      <c r="B651" s="1" t="s">
        <v>12</v>
      </c>
      <c r="C651" s="2">
        <v>41155</v>
      </c>
      <c r="D651" s="1">
        <v>10</v>
      </c>
      <c r="E651" s="1" t="s">
        <v>42</v>
      </c>
      <c r="I651" s="1" t="s">
        <v>12</v>
      </c>
      <c r="J651" s="1" t="s">
        <v>40</v>
      </c>
      <c r="K651" s="1" t="s">
        <v>14</v>
      </c>
      <c r="L651" s="1" t="s">
        <v>12</v>
      </c>
      <c r="M651" s="1" t="s">
        <v>12</v>
      </c>
      <c r="N651" s="1">
        <v>27.12</v>
      </c>
      <c r="O651" s="1" t="s">
        <v>30</v>
      </c>
      <c r="P651" s="1" t="s">
        <v>28</v>
      </c>
      <c r="Q651" s="1" t="s">
        <v>16</v>
      </c>
      <c r="R651" s="1" t="str">
        <f>IF(N651="","",VLOOKUP(N651,Prior_levels,2,TRUE))</f>
        <v>M</v>
      </c>
    </row>
    <row r="652" spans="1:18" x14ac:dyDescent="0.2">
      <c r="A652" s="1" t="s">
        <v>94</v>
      </c>
      <c r="B652" s="1" t="s">
        <v>12</v>
      </c>
      <c r="C652" s="2">
        <v>41155</v>
      </c>
      <c r="D652" s="1">
        <v>10</v>
      </c>
      <c r="E652" s="1" t="s">
        <v>42</v>
      </c>
      <c r="I652" s="1" t="s">
        <v>12</v>
      </c>
      <c r="J652" s="1" t="s">
        <v>40</v>
      </c>
      <c r="K652" s="1" t="s">
        <v>14</v>
      </c>
      <c r="L652" s="1" t="s">
        <v>12</v>
      </c>
      <c r="M652" s="1" t="s">
        <v>12</v>
      </c>
      <c r="N652" s="1">
        <v>27.12</v>
      </c>
      <c r="O652" s="1" t="s">
        <v>31</v>
      </c>
      <c r="P652" s="1" t="s">
        <v>28</v>
      </c>
      <c r="Q652" s="1" t="s">
        <v>16</v>
      </c>
      <c r="R652" s="1" t="str">
        <f>IF(N652="","",VLOOKUP(N652,Prior_levels,2,TRUE))</f>
        <v>M</v>
      </c>
    </row>
    <row r="653" spans="1:18" x14ac:dyDescent="0.2">
      <c r="A653" s="1" t="s">
        <v>95</v>
      </c>
      <c r="B653" s="1" t="s">
        <v>12</v>
      </c>
      <c r="C653" s="2">
        <v>41155</v>
      </c>
      <c r="D653" s="1">
        <v>10</v>
      </c>
      <c r="E653" s="1" t="s">
        <v>34</v>
      </c>
      <c r="I653" s="1" t="s">
        <v>12</v>
      </c>
      <c r="J653" s="1" t="s">
        <v>40</v>
      </c>
      <c r="K653" s="1" t="s">
        <v>14</v>
      </c>
      <c r="L653" s="1" t="s">
        <v>12</v>
      </c>
      <c r="M653" s="1" t="s">
        <v>12</v>
      </c>
      <c r="N653" s="1">
        <v>15.06</v>
      </c>
      <c r="O653" s="1" t="s">
        <v>15</v>
      </c>
      <c r="P653" s="1">
        <v>3.3</v>
      </c>
      <c r="Q653" s="1" t="s">
        <v>16</v>
      </c>
      <c r="R653" s="1" t="str">
        <f>IF(N653="","",VLOOKUP(N653,Prior_levels,2,TRUE))</f>
        <v>L</v>
      </c>
    </row>
    <row r="654" spans="1:18" x14ac:dyDescent="0.2">
      <c r="A654" s="1" t="s">
        <v>95</v>
      </c>
      <c r="B654" s="1" t="s">
        <v>12</v>
      </c>
      <c r="C654" s="2">
        <v>41155</v>
      </c>
      <c r="D654" s="1">
        <v>10</v>
      </c>
      <c r="E654" s="1" t="s">
        <v>34</v>
      </c>
      <c r="I654" s="1" t="s">
        <v>12</v>
      </c>
      <c r="J654" s="1" t="s">
        <v>40</v>
      </c>
      <c r="K654" s="1" t="s">
        <v>14</v>
      </c>
      <c r="L654" s="1" t="s">
        <v>12</v>
      </c>
      <c r="M654" s="1" t="s">
        <v>12</v>
      </c>
      <c r="N654" s="1">
        <v>15.06</v>
      </c>
      <c r="O654" s="1" t="s">
        <v>17</v>
      </c>
      <c r="P654" s="1">
        <v>1.39</v>
      </c>
      <c r="Q654" s="1" t="s">
        <v>16</v>
      </c>
      <c r="R654" s="1" t="str">
        <f>IF(N654="","",VLOOKUP(N654,Prior_levels,2,TRUE))</f>
        <v>L</v>
      </c>
    </row>
    <row r="655" spans="1:18" x14ac:dyDescent="0.2">
      <c r="A655" s="1" t="s">
        <v>95</v>
      </c>
      <c r="B655" s="1" t="s">
        <v>12</v>
      </c>
      <c r="C655" s="2">
        <v>41155</v>
      </c>
      <c r="D655" s="1">
        <v>10</v>
      </c>
      <c r="E655" s="1" t="s">
        <v>34</v>
      </c>
      <c r="I655" s="1" t="s">
        <v>12</v>
      </c>
      <c r="J655" s="1" t="s">
        <v>40</v>
      </c>
      <c r="K655" s="1" t="s">
        <v>14</v>
      </c>
      <c r="L655" s="1" t="s">
        <v>12</v>
      </c>
      <c r="M655" s="1" t="s">
        <v>12</v>
      </c>
      <c r="N655" s="1">
        <v>15.06</v>
      </c>
      <c r="O655" s="1" t="s">
        <v>18</v>
      </c>
      <c r="P655" s="1">
        <v>8</v>
      </c>
      <c r="Q655" s="1" t="s">
        <v>16</v>
      </c>
      <c r="R655" s="1" t="str">
        <f>IF(N655="","",VLOOKUP(N655,Prior_levels,2,TRUE))</f>
        <v>L</v>
      </c>
    </row>
    <row r="656" spans="1:18" x14ac:dyDescent="0.2">
      <c r="A656" s="1" t="s">
        <v>95</v>
      </c>
      <c r="B656" s="1" t="s">
        <v>12</v>
      </c>
      <c r="C656" s="2">
        <v>41155</v>
      </c>
      <c r="D656" s="1">
        <v>10</v>
      </c>
      <c r="E656" s="1" t="s">
        <v>34</v>
      </c>
      <c r="I656" s="1" t="s">
        <v>12</v>
      </c>
      <c r="J656" s="1" t="s">
        <v>40</v>
      </c>
      <c r="K656" s="1" t="s">
        <v>14</v>
      </c>
      <c r="L656" s="1" t="s">
        <v>12</v>
      </c>
      <c r="M656" s="1" t="s">
        <v>12</v>
      </c>
      <c r="N656" s="1">
        <v>15.06</v>
      </c>
      <c r="O656" s="1" t="s">
        <v>19</v>
      </c>
      <c r="P656" s="1">
        <v>6</v>
      </c>
      <c r="Q656" s="1" t="s">
        <v>16</v>
      </c>
      <c r="R656" s="1" t="str">
        <f>IF(N656="","",VLOOKUP(N656,Prior_levels,2,TRUE))</f>
        <v>L</v>
      </c>
    </row>
    <row r="657" spans="1:18" x14ac:dyDescent="0.2">
      <c r="A657" s="1" t="s">
        <v>95</v>
      </c>
      <c r="B657" s="1" t="s">
        <v>12</v>
      </c>
      <c r="C657" s="2">
        <v>41155</v>
      </c>
      <c r="D657" s="1">
        <v>10</v>
      </c>
      <c r="E657" s="1" t="s">
        <v>34</v>
      </c>
      <c r="I657" s="1" t="s">
        <v>12</v>
      </c>
      <c r="J657" s="1" t="s">
        <v>40</v>
      </c>
      <c r="K657" s="1" t="s">
        <v>14</v>
      </c>
      <c r="L657" s="1" t="s">
        <v>12</v>
      </c>
      <c r="M657" s="1" t="s">
        <v>12</v>
      </c>
      <c r="N657" s="1">
        <v>15.06</v>
      </c>
      <c r="O657" s="1" t="s">
        <v>20</v>
      </c>
      <c r="P657" s="1">
        <v>9</v>
      </c>
      <c r="Q657" s="1" t="s">
        <v>16</v>
      </c>
      <c r="R657" s="1" t="str">
        <f>IF(N657="","",VLOOKUP(N657,Prior_levels,2,TRUE))</f>
        <v>L</v>
      </c>
    </row>
    <row r="658" spans="1:18" x14ac:dyDescent="0.2">
      <c r="A658" s="1" t="s">
        <v>95</v>
      </c>
      <c r="B658" s="1" t="s">
        <v>12</v>
      </c>
      <c r="C658" s="2">
        <v>41155</v>
      </c>
      <c r="D658" s="1">
        <v>10</v>
      </c>
      <c r="E658" s="1" t="s">
        <v>34</v>
      </c>
      <c r="I658" s="1" t="s">
        <v>12</v>
      </c>
      <c r="J658" s="1" t="s">
        <v>40</v>
      </c>
      <c r="K658" s="1" t="s">
        <v>14</v>
      </c>
      <c r="L658" s="1" t="s">
        <v>12</v>
      </c>
      <c r="M658" s="1" t="s">
        <v>12</v>
      </c>
      <c r="N658" s="1">
        <v>15.06</v>
      </c>
      <c r="O658" s="1" t="s">
        <v>21</v>
      </c>
      <c r="P658" s="1">
        <v>10</v>
      </c>
      <c r="Q658" s="1" t="s">
        <v>16</v>
      </c>
      <c r="R658" s="1" t="str">
        <f>IF(N658="","",VLOOKUP(N658,Prior_levels,2,TRUE))</f>
        <v>L</v>
      </c>
    </row>
    <row r="659" spans="1:18" x14ac:dyDescent="0.2">
      <c r="A659" s="1" t="s">
        <v>95</v>
      </c>
      <c r="B659" s="1" t="s">
        <v>12</v>
      </c>
      <c r="C659" s="2">
        <v>41155</v>
      </c>
      <c r="D659" s="1">
        <v>10</v>
      </c>
      <c r="E659" s="1" t="s">
        <v>34</v>
      </c>
      <c r="I659" s="1" t="s">
        <v>12</v>
      </c>
      <c r="J659" s="1" t="s">
        <v>40</v>
      </c>
      <c r="K659" s="1" t="s">
        <v>14</v>
      </c>
      <c r="L659" s="1" t="s">
        <v>12</v>
      </c>
      <c r="M659" s="1" t="s">
        <v>12</v>
      </c>
      <c r="N659" s="1">
        <v>15.06</v>
      </c>
      <c r="O659" s="1" t="s">
        <v>22</v>
      </c>
      <c r="P659" s="1">
        <v>1.34</v>
      </c>
      <c r="Q659" s="1" t="s">
        <v>16</v>
      </c>
      <c r="R659" s="1" t="str">
        <f>IF(N659="","",VLOOKUP(N659,Prior_levels,2,TRUE))</f>
        <v>L</v>
      </c>
    </row>
    <row r="660" spans="1:18" x14ac:dyDescent="0.2">
      <c r="A660" s="1" t="s">
        <v>95</v>
      </c>
      <c r="B660" s="1" t="s">
        <v>12</v>
      </c>
      <c r="C660" s="2">
        <v>41155</v>
      </c>
      <c r="D660" s="1">
        <v>10</v>
      </c>
      <c r="E660" s="1" t="s">
        <v>34</v>
      </c>
      <c r="I660" s="1" t="s">
        <v>12</v>
      </c>
      <c r="J660" s="1" t="s">
        <v>40</v>
      </c>
      <c r="K660" s="1" t="s">
        <v>14</v>
      </c>
      <c r="L660" s="1" t="s">
        <v>12</v>
      </c>
      <c r="M660" s="1" t="s">
        <v>12</v>
      </c>
      <c r="N660" s="1">
        <v>15.06</v>
      </c>
      <c r="O660" s="1" t="s">
        <v>23</v>
      </c>
      <c r="P660" s="1">
        <v>1.68</v>
      </c>
      <c r="Q660" s="1" t="s">
        <v>16</v>
      </c>
      <c r="R660" s="1" t="str">
        <f>IF(N660="","",VLOOKUP(N660,Prior_levels,2,TRUE))</f>
        <v>L</v>
      </c>
    </row>
    <row r="661" spans="1:18" x14ac:dyDescent="0.2">
      <c r="A661" s="1" t="s">
        <v>95</v>
      </c>
      <c r="B661" s="1" t="s">
        <v>12</v>
      </c>
      <c r="C661" s="2">
        <v>41155</v>
      </c>
      <c r="D661" s="1">
        <v>10</v>
      </c>
      <c r="E661" s="1" t="s">
        <v>34</v>
      </c>
      <c r="I661" s="1" t="s">
        <v>12</v>
      </c>
      <c r="J661" s="1" t="s">
        <v>40</v>
      </c>
      <c r="K661" s="1" t="s">
        <v>14</v>
      </c>
      <c r="L661" s="1" t="s">
        <v>12</v>
      </c>
      <c r="M661" s="1" t="s">
        <v>12</v>
      </c>
      <c r="N661" s="1">
        <v>15.06</v>
      </c>
      <c r="O661" s="1" t="s">
        <v>24</v>
      </c>
      <c r="P661" s="1">
        <v>6.44</v>
      </c>
      <c r="Q661" s="1" t="s">
        <v>16</v>
      </c>
      <c r="R661" s="1" t="str">
        <f>IF(N661="","",VLOOKUP(N661,Prior_levels,2,TRUE))</f>
        <v>L</v>
      </c>
    </row>
    <row r="662" spans="1:18" x14ac:dyDescent="0.2">
      <c r="A662" s="1" t="s">
        <v>95</v>
      </c>
      <c r="B662" s="1" t="s">
        <v>12</v>
      </c>
      <c r="C662" s="2">
        <v>41155</v>
      </c>
      <c r="D662" s="1">
        <v>10</v>
      </c>
      <c r="E662" s="1" t="s">
        <v>34</v>
      </c>
      <c r="I662" s="1" t="s">
        <v>12</v>
      </c>
      <c r="J662" s="1" t="s">
        <v>40</v>
      </c>
      <c r="K662" s="1" t="s">
        <v>14</v>
      </c>
      <c r="L662" s="1" t="s">
        <v>12</v>
      </c>
      <c r="M662" s="1" t="s">
        <v>12</v>
      </c>
      <c r="N662" s="1">
        <v>15.06</v>
      </c>
      <c r="O662" s="1" t="s">
        <v>25</v>
      </c>
      <c r="P662" s="1">
        <v>1.37</v>
      </c>
      <c r="Q662" s="1" t="s">
        <v>16</v>
      </c>
      <c r="R662" s="1" t="str">
        <f>IF(N662="","",VLOOKUP(N662,Prior_levels,2,TRUE))</f>
        <v>L</v>
      </c>
    </row>
    <row r="663" spans="1:18" x14ac:dyDescent="0.2">
      <c r="A663" s="1" t="s">
        <v>95</v>
      </c>
      <c r="B663" s="1" t="s">
        <v>12</v>
      </c>
      <c r="C663" s="2">
        <v>41155</v>
      </c>
      <c r="D663" s="1">
        <v>10</v>
      </c>
      <c r="E663" s="1" t="s">
        <v>34</v>
      </c>
      <c r="I663" s="1" t="s">
        <v>12</v>
      </c>
      <c r="J663" s="1" t="s">
        <v>40</v>
      </c>
      <c r="K663" s="1" t="s">
        <v>14</v>
      </c>
      <c r="L663" s="1" t="s">
        <v>12</v>
      </c>
      <c r="M663" s="1" t="s">
        <v>12</v>
      </c>
      <c r="N663" s="1">
        <v>15.06</v>
      </c>
      <c r="O663" s="1" t="s">
        <v>26</v>
      </c>
      <c r="P663" s="1">
        <v>0</v>
      </c>
      <c r="Q663" s="1" t="s">
        <v>16</v>
      </c>
      <c r="R663" s="1" t="str">
        <f>IF(N663="","",VLOOKUP(N663,Prior_levels,2,TRUE))</f>
        <v>L</v>
      </c>
    </row>
    <row r="664" spans="1:18" x14ac:dyDescent="0.2">
      <c r="A664" s="1" t="s">
        <v>95</v>
      </c>
      <c r="B664" s="1" t="s">
        <v>12</v>
      </c>
      <c r="C664" s="2">
        <v>41155</v>
      </c>
      <c r="D664" s="1">
        <v>10</v>
      </c>
      <c r="E664" s="1" t="s">
        <v>34</v>
      </c>
      <c r="I664" s="1" t="s">
        <v>12</v>
      </c>
      <c r="J664" s="1" t="s">
        <v>40</v>
      </c>
      <c r="K664" s="1" t="s">
        <v>14</v>
      </c>
      <c r="L664" s="1" t="s">
        <v>12</v>
      </c>
      <c r="M664" s="1" t="s">
        <v>12</v>
      </c>
      <c r="N664" s="1">
        <v>15.06</v>
      </c>
      <c r="O664" s="1" t="s">
        <v>32</v>
      </c>
      <c r="P664" s="1" t="s">
        <v>28</v>
      </c>
      <c r="Q664" s="1" t="s">
        <v>16</v>
      </c>
      <c r="R664" s="1" t="str">
        <f>IF(N664="","",VLOOKUP(N664,Prior_levels,2,TRUE))</f>
        <v>L</v>
      </c>
    </row>
    <row r="665" spans="1:18" x14ac:dyDescent="0.2">
      <c r="A665" s="1" t="s">
        <v>95</v>
      </c>
      <c r="B665" s="1" t="s">
        <v>12</v>
      </c>
      <c r="C665" s="2">
        <v>41155</v>
      </c>
      <c r="D665" s="1">
        <v>10</v>
      </c>
      <c r="E665" s="1" t="s">
        <v>34</v>
      </c>
      <c r="I665" s="1" t="s">
        <v>12</v>
      </c>
      <c r="J665" s="1" t="s">
        <v>40</v>
      </c>
      <c r="K665" s="1" t="s">
        <v>14</v>
      </c>
      <c r="L665" s="1" t="s">
        <v>12</v>
      </c>
      <c r="M665" s="1" t="s">
        <v>12</v>
      </c>
      <c r="N665" s="1">
        <v>15.06</v>
      </c>
      <c r="O665" s="1" t="s">
        <v>27</v>
      </c>
      <c r="P665" s="1" t="s">
        <v>28</v>
      </c>
      <c r="Q665" s="1" t="s">
        <v>16</v>
      </c>
      <c r="R665" s="1" t="str">
        <f>IF(N665="","",VLOOKUP(N665,Prior_levels,2,TRUE))</f>
        <v>L</v>
      </c>
    </row>
    <row r="666" spans="1:18" x14ac:dyDescent="0.2">
      <c r="A666" s="1" t="s">
        <v>95</v>
      </c>
      <c r="B666" s="1" t="s">
        <v>12</v>
      </c>
      <c r="C666" s="2">
        <v>41155</v>
      </c>
      <c r="D666" s="1">
        <v>10</v>
      </c>
      <c r="E666" s="1" t="s">
        <v>34</v>
      </c>
      <c r="I666" s="1" t="s">
        <v>12</v>
      </c>
      <c r="J666" s="1" t="s">
        <v>40</v>
      </c>
      <c r="K666" s="1" t="s">
        <v>14</v>
      </c>
      <c r="L666" s="1" t="s">
        <v>12</v>
      </c>
      <c r="M666" s="1" t="s">
        <v>12</v>
      </c>
      <c r="N666" s="1">
        <v>15.06</v>
      </c>
      <c r="O666" s="1" t="s">
        <v>29</v>
      </c>
      <c r="P666" s="1" t="s">
        <v>28</v>
      </c>
      <c r="Q666" s="1" t="s">
        <v>16</v>
      </c>
      <c r="R666" s="1" t="str">
        <f>IF(N666="","",VLOOKUP(N666,Prior_levels,2,TRUE))</f>
        <v>L</v>
      </c>
    </row>
    <row r="667" spans="1:18" x14ac:dyDescent="0.2">
      <c r="A667" s="1" t="s">
        <v>95</v>
      </c>
      <c r="B667" s="1" t="s">
        <v>12</v>
      </c>
      <c r="C667" s="2">
        <v>41155</v>
      </c>
      <c r="D667" s="1">
        <v>10</v>
      </c>
      <c r="E667" s="1" t="s">
        <v>34</v>
      </c>
      <c r="I667" s="1" t="s">
        <v>12</v>
      </c>
      <c r="J667" s="1" t="s">
        <v>40</v>
      </c>
      <c r="K667" s="1" t="s">
        <v>14</v>
      </c>
      <c r="L667" s="1" t="s">
        <v>12</v>
      </c>
      <c r="M667" s="1" t="s">
        <v>12</v>
      </c>
      <c r="N667" s="1">
        <v>15.06</v>
      </c>
      <c r="O667" s="1" t="s">
        <v>30</v>
      </c>
      <c r="P667" s="1" t="s">
        <v>28</v>
      </c>
      <c r="Q667" s="1" t="s">
        <v>16</v>
      </c>
      <c r="R667" s="1" t="str">
        <f>IF(N667="","",VLOOKUP(N667,Prior_levels,2,TRUE))</f>
        <v>L</v>
      </c>
    </row>
    <row r="668" spans="1:18" x14ac:dyDescent="0.2">
      <c r="A668" s="1" t="s">
        <v>95</v>
      </c>
      <c r="B668" s="1" t="s">
        <v>12</v>
      </c>
      <c r="C668" s="2">
        <v>41155</v>
      </c>
      <c r="D668" s="1">
        <v>10</v>
      </c>
      <c r="E668" s="1" t="s">
        <v>34</v>
      </c>
      <c r="I668" s="1" t="s">
        <v>12</v>
      </c>
      <c r="J668" s="1" t="s">
        <v>40</v>
      </c>
      <c r="K668" s="1" t="s">
        <v>14</v>
      </c>
      <c r="L668" s="1" t="s">
        <v>12</v>
      </c>
      <c r="M668" s="1" t="s">
        <v>12</v>
      </c>
      <c r="N668" s="1">
        <v>15.06</v>
      </c>
      <c r="O668" s="1" t="s">
        <v>31</v>
      </c>
      <c r="P668" s="1" t="s">
        <v>28</v>
      </c>
      <c r="Q668" s="1" t="s">
        <v>16</v>
      </c>
      <c r="R668" s="1" t="str">
        <f>IF(N668="","",VLOOKUP(N668,Prior_levels,2,TRUE))</f>
        <v>L</v>
      </c>
    </row>
    <row r="669" spans="1:18" x14ac:dyDescent="0.2">
      <c r="A669" s="1" t="s">
        <v>96</v>
      </c>
      <c r="B669" s="1" t="s">
        <v>12</v>
      </c>
      <c r="C669" s="2">
        <v>41155</v>
      </c>
      <c r="D669" s="1">
        <v>10</v>
      </c>
      <c r="E669" s="1" t="s">
        <v>47</v>
      </c>
      <c r="I669" s="1" t="s">
        <v>12</v>
      </c>
      <c r="J669" s="1" t="s">
        <v>40</v>
      </c>
      <c r="K669" s="1" t="s">
        <v>14</v>
      </c>
      <c r="L669" s="1" t="s">
        <v>12</v>
      </c>
      <c r="M669" s="1" t="s">
        <v>12</v>
      </c>
      <c r="N669" s="1">
        <v>27.12</v>
      </c>
      <c r="O669" s="1" t="s">
        <v>15</v>
      </c>
      <c r="P669" s="1">
        <v>3.9</v>
      </c>
      <c r="Q669" s="1" t="s">
        <v>16</v>
      </c>
      <c r="R669" s="1" t="str">
        <f>IF(N669="","",VLOOKUP(N669,Prior_levels,2,TRUE))</f>
        <v>M</v>
      </c>
    </row>
    <row r="670" spans="1:18" x14ac:dyDescent="0.2">
      <c r="A670" s="1" t="s">
        <v>96</v>
      </c>
      <c r="B670" s="1" t="s">
        <v>12</v>
      </c>
      <c r="C670" s="2">
        <v>41155</v>
      </c>
      <c r="D670" s="1">
        <v>10</v>
      </c>
      <c r="E670" s="1" t="s">
        <v>47</v>
      </c>
      <c r="I670" s="1" t="s">
        <v>12</v>
      </c>
      <c r="J670" s="1" t="s">
        <v>40</v>
      </c>
      <c r="K670" s="1" t="s">
        <v>14</v>
      </c>
      <c r="L670" s="1" t="s">
        <v>12</v>
      </c>
      <c r="M670" s="1" t="s">
        <v>12</v>
      </c>
      <c r="N670" s="1">
        <v>27.12</v>
      </c>
      <c r="O670" s="1" t="s">
        <v>17</v>
      </c>
      <c r="P670" s="1">
        <v>-0.65</v>
      </c>
      <c r="Q670" s="1" t="s">
        <v>16</v>
      </c>
      <c r="R670" s="1" t="str">
        <f>IF(N670="","",VLOOKUP(N670,Prior_levels,2,TRUE))</f>
        <v>M</v>
      </c>
    </row>
    <row r="671" spans="1:18" x14ac:dyDescent="0.2">
      <c r="A671" s="1" t="s">
        <v>96</v>
      </c>
      <c r="B671" s="1" t="s">
        <v>12</v>
      </c>
      <c r="C671" s="2">
        <v>41155</v>
      </c>
      <c r="D671" s="1">
        <v>10</v>
      </c>
      <c r="E671" s="1" t="s">
        <v>47</v>
      </c>
      <c r="I671" s="1" t="s">
        <v>12</v>
      </c>
      <c r="J671" s="1" t="s">
        <v>40</v>
      </c>
      <c r="K671" s="1" t="s">
        <v>14</v>
      </c>
      <c r="L671" s="1" t="s">
        <v>12</v>
      </c>
      <c r="M671" s="1" t="s">
        <v>12</v>
      </c>
      <c r="N671" s="1">
        <v>27.12</v>
      </c>
      <c r="O671" s="1" t="s">
        <v>18</v>
      </c>
      <c r="P671" s="1">
        <v>8</v>
      </c>
      <c r="Q671" s="1" t="s">
        <v>16</v>
      </c>
      <c r="R671" s="1" t="str">
        <f>IF(N671="","",VLOOKUP(N671,Prior_levels,2,TRUE))</f>
        <v>M</v>
      </c>
    </row>
    <row r="672" spans="1:18" x14ac:dyDescent="0.2">
      <c r="A672" s="1" t="s">
        <v>96</v>
      </c>
      <c r="B672" s="1" t="s">
        <v>12</v>
      </c>
      <c r="C672" s="2">
        <v>41155</v>
      </c>
      <c r="D672" s="1">
        <v>10</v>
      </c>
      <c r="E672" s="1" t="s">
        <v>47</v>
      </c>
      <c r="I672" s="1" t="s">
        <v>12</v>
      </c>
      <c r="J672" s="1" t="s">
        <v>40</v>
      </c>
      <c r="K672" s="1" t="s">
        <v>14</v>
      </c>
      <c r="L672" s="1" t="s">
        <v>12</v>
      </c>
      <c r="M672" s="1" t="s">
        <v>12</v>
      </c>
      <c r="N672" s="1">
        <v>27.12</v>
      </c>
      <c r="O672" s="1" t="s">
        <v>19</v>
      </c>
      <c r="P672" s="1">
        <v>10</v>
      </c>
      <c r="Q672" s="1" t="s">
        <v>16</v>
      </c>
      <c r="R672" s="1" t="str">
        <f>IF(N672="","",VLOOKUP(N672,Prior_levels,2,TRUE))</f>
        <v>M</v>
      </c>
    </row>
    <row r="673" spans="1:18" x14ac:dyDescent="0.2">
      <c r="A673" s="1" t="s">
        <v>96</v>
      </c>
      <c r="B673" s="1" t="s">
        <v>12</v>
      </c>
      <c r="C673" s="2">
        <v>41155</v>
      </c>
      <c r="D673" s="1">
        <v>10</v>
      </c>
      <c r="E673" s="1" t="s">
        <v>47</v>
      </c>
      <c r="I673" s="1" t="s">
        <v>12</v>
      </c>
      <c r="J673" s="1" t="s">
        <v>40</v>
      </c>
      <c r="K673" s="1" t="s">
        <v>14</v>
      </c>
      <c r="L673" s="1" t="s">
        <v>12</v>
      </c>
      <c r="M673" s="1" t="s">
        <v>12</v>
      </c>
      <c r="N673" s="1">
        <v>27.12</v>
      </c>
      <c r="O673" s="1" t="s">
        <v>20</v>
      </c>
      <c r="P673" s="1">
        <v>11</v>
      </c>
      <c r="Q673" s="1" t="s">
        <v>16</v>
      </c>
      <c r="R673" s="1" t="str">
        <f>IF(N673="","",VLOOKUP(N673,Prior_levels,2,TRUE))</f>
        <v>M</v>
      </c>
    </row>
    <row r="674" spans="1:18" x14ac:dyDescent="0.2">
      <c r="A674" s="1" t="s">
        <v>96</v>
      </c>
      <c r="B674" s="1" t="s">
        <v>12</v>
      </c>
      <c r="C674" s="2">
        <v>41155</v>
      </c>
      <c r="D674" s="1">
        <v>10</v>
      </c>
      <c r="E674" s="1" t="s">
        <v>47</v>
      </c>
      <c r="I674" s="1" t="s">
        <v>12</v>
      </c>
      <c r="J674" s="1" t="s">
        <v>40</v>
      </c>
      <c r="K674" s="1" t="s">
        <v>14</v>
      </c>
      <c r="L674" s="1" t="s">
        <v>12</v>
      </c>
      <c r="M674" s="1" t="s">
        <v>12</v>
      </c>
      <c r="N674" s="1">
        <v>27.12</v>
      </c>
      <c r="O674" s="1" t="s">
        <v>21</v>
      </c>
      <c r="P674" s="1">
        <v>10</v>
      </c>
      <c r="Q674" s="1" t="s">
        <v>16</v>
      </c>
      <c r="R674" s="1" t="str">
        <f>IF(N674="","",VLOOKUP(N674,Prior_levels,2,TRUE))</f>
        <v>M</v>
      </c>
    </row>
    <row r="675" spans="1:18" x14ac:dyDescent="0.2">
      <c r="A675" s="1" t="s">
        <v>96</v>
      </c>
      <c r="B675" s="1" t="s">
        <v>12</v>
      </c>
      <c r="C675" s="2">
        <v>41155</v>
      </c>
      <c r="D675" s="1">
        <v>10</v>
      </c>
      <c r="E675" s="1" t="s">
        <v>47</v>
      </c>
      <c r="I675" s="1" t="s">
        <v>12</v>
      </c>
      <c r="J675" s="1" t="s">
        <v>40</v>
      </c>
      <c r="K675" s="1" t="s">
        <v>14</v>
      </c>
      <c r="L675" s="1" t="s">
        <v>12</v>
      </c>
      <c r="M675" s="1" t="s">
        <v>12</v>
      </c>
      <c r="N675" s="1">
        <v>27.12</v>
      </c>
      <c r="O675" s="1" t="s">
        <v>22</v>
      </c>
      <c r="P675" s="1">
        <v>-1.05</v>
      </c>
      <c r="Q675" s="1" t="s">
        <v>16</v>
      </c>
      <c r="R675" s="1" t="str">
        <f>IF(N675="","",VLOOKUP(N675,Prior_levels,2,TRUE))</f>
        <v>M</v>
      </c>
    </row>
    <row r="676" spans="1:18" x14ac:dyDescent="0.2">
      <c r="A676" s="1" t="s">
        <v>96</v>
      </c>
      <c r="B676" s="1" t="s">
        <v>12</v>
      </c>
      <c r="C676" s="2">
        <v>41155</v>
      </c>
      <c r="D676" s="1">
        <v>10</v>
      </c>
      <c r="E676" s="1" t="s">
        <v>47</v>
      </c>
      <c r="I676" s="1" t="s">
        <v>12</v>
      </c>
      <c r="J676" s="1" t="s">
        <v>40</v>
      </c>
      <c r="K676" s="1" t="s">
        <v>14</v>
      </c>
      <c r="L676" s="1" t="s">
        <v>12</v>
      </c>
      <c r="M676" s="1" t="s">
        <v>12</v>
      </c>
      <c r="N676" s="1">
        <v>27.12</v>
      </c>
      <c r="O676" s="1" t="s">
        <v>23</v>
      </c>
      <c r="P676" s="1">
        <v>0.36</v>
      </c>
      <c r="Q676" s="1" t="s">
        <v>16</v>
      </c>
      <c r="R676" s="1" t="str">
        <f>IF(N676="","",VLOOKUP(N676,Prior_levels,2,TRUE))</f>
        <v>M</v>
      </c>
    </row>
    <row r="677" spans="1:18" x14ac:dyDescent="0.2">
      <c r="A677" s="1" t="s">
        <v>96</v>
      </c>
      <c r="B677" s="1" t="s">
        <v>12</v>
      </c>
      <c r="C677" s="2">
        <v>41155</v>
      </c>
      <c r="D677" s="1">
        <v>10</v>
      </c>
      <c r="E677" s="1" t="s">
        <v>47</v>
      </c>
      <c r="I677" s="1" t="s">
        <v>12</v>
      </c>
      <c r="J677" s="1" t="s">
        <v>40</v>
      </c>
      <c r="K677" s="1" t="s">
        <v>14</v>
      </c>
      <c r="L677" s="1" t="s">
        <v>12</v>
      </c>
      <c r="M677" s="1" t="s">
        <v>12</v>
      </c>
      <c r="N677" s="1">
        <v>27.12</v>
      </c>
      <c r="O677" s="1" t="s">
        <v>25</v>
      </c>
      <c r="P677" s="1">
        <v>-4.8899999999999997</v>
      </c>
      <c r="Q677" s="1" t="s">
        <v>16</v>
      </c>
      <c r="R677" s="1" t="str">
        <f>IF(N677="","",VLOOKUP(N677,Prior_levels,2,TRUE))</f>
        <v>M</v>
      </c>
    </row>
    <row r="678" spans="1:18" x14ac:dyDescent="0.2">
      <c r="A678" s="1" t="s">
        <v>96</v>
      </c>
      <c r="B678" s="1" t="s">
        <v>12</v>
      </c>
      <c r="C678" s="2">
        <v>41155</v>
      </c>
      <c r="D678" s="1">
        <v>10</v>
      </c>
      <c r="E678" s="1" t="s">
        <v>47</v>
      </c>
      <c r="I678" s="1" t="s">
        <v>12</v>
      </c>
      <c r="J678" s="1" t="s">
        <v>40</v>
      </c>
      <c r="K678" s="1" t="s">
        <v>14</v>
      </c>
      <c r="L678" s="1" t="s">
        <v>12</v>
      </c>
      <c r="M678" s="1" t="s">
        <v>12</v>
      </c>
      <c r="N678" s="1">
        <v>27.12</v>
      </c>
      <c r="O678" s="1" t="s">
        <v>26</v>
      </c>
      <c r="P678" s="1">
        <v>3</v>
      </c>
      <c r="Q678" s="1" t="s">
        <v>16</v>
      </c>
      <c r="R678" s="1" t="str">
        <f>IF(N678="","",VLOOKUP(N678,Prior_levels,2,TRUE))</f>
        <v>M</v>
      </c>
    </row>
    <row r="679" spans="1:18" x14ac:dyDescent="0.2">
      <c r="A679" s="1" t="s">
        <v>96</v>
      </c>
      <c r="B679" s="1" t="s">
        <v>12</v>
      </c>
      <c r="C679" s="2">
        <v>41155</v>
      </c>
      <c r="D679" s="1">
        <v>10</v>
      </c>
      <c r="E679" s="1" t="s">
        <v>47</v>
      </c>
      <c r="I679" s="1" t="s">
        <v>12</v>
      </c>
      <c r="J679" s="1" t="s">
        <v>40</v>
      </c>
      <c r="K679" s="1" t="s">
        <v>14</v>
      </c>
      <c r="L679" s="1" t="s">
        <v>12</v>
      </c>
      <c r="M679" s="1" t="s">
        <v>12</v>
      </c>
      <c r="N679" s="1">
        <v>27.12</v>
      </c>
      <c r="O679" s="1" t="s">
        <v>24</v>
      </c>
      <c r="P679" s="1">
        <v>-0.25</v>
      </c>
      <c r="Q679" s="1" t="s">
        <v>16</v>
      </c>
      <c r="R679" s="1" t="str">
        <f>IF(N679="","",VLOOKUP(N679,Prior_levels,2,TRUE))</f>
        <v>M</v>
      </c>
    </row>
    <row r="680" spans="1:18" x14ac:dyDescent="0.2">
      <c r="A680" s="1" t="s">
        <v>96</v>
      </c>
      <c r="B680" s="1" t="s">
        <v>12</v>
      </c>
      <c r="C680" s="2">
        <v>41155</v>
      </c>
      <c r="D680" s="1">
        <v>10</v>
      </c>
      <c r="E680" s="1" t="s">
        <v>47</v>
      </c>
      <c r="I680" s="1" t="s">
        <v>12</v>
      </c>
      <c r="J680" s="1" t="s">
        <v>40</v>
      </c>
      <c r="K680" s="1" t="s">
        <v>14</v>
      </c>
      <c r="L680" s="1" t="s">
        <v>12</v>
      </c>
      <c r="M680" s="1" t="s">
        <v>12</v>
      </c>
      <c r="N680" s="1">
        <v>27.12</v>
      </c>
      <c r="O680" s="1" t="s">
        <v>27</v>
      </c>
      <c r="P680" s="1" t="s">
        <v>37</v>
      </c>
      <c r="Q680" s="1" t="s">
        <v>16</v>
      </c>
      <c r="R680" s="1" t="str">
        <f>IF(N680="","",VLOOKUP(N680,Prior_levels,2,TRUE))</f>
        <v>M</v>
      </c>
    </row>
    <row r="681" spans="1:18" x14ac:dyDescent="0.2">
      <c r="A681" s="1" t="s">
        <v>96</v>
      </c>
      <c r="B681" s="1" t="s">
        <v>12</v>
      </c>
      <c r="C681" s="2">
        <v>41155</v>
      </c>
      <c r="D681" s="1">
        <v>10</v>
      </c>
      <c r="E681" s="1" t="s">
        <v>47</v>
      </c>
      <c r="I681" s="1" t="s">
        <v>12</v>
      </c>
      <c r="J681" s="1" t="s">
        <v>40</v>
      </c>
      <c r="K681" s="1" t="s">
        <v>14</v>
      </c>
      <c r="L681" s="1" t="s">
        <v>12</v>
      </c>
      <c r="M681" s="1" t="s">
        <v>12</v>
      </c>
      <c r="N681" s="1">
        <v>27.12</v>
      </c>
      <c r="O681" s="1" t="s">
        <v>29</v>
      </c>
      <c r="P681" s="1" t="s">
        <v>28</v>
      </c>
      <c r="Q681" s="1" t="s">
        <v>16</v>
      </c>
      <c r="R681" s="1" t="str">
        <f>IF(N681="","",VLOOKUP(N681,Prior_levels,2,TRUE))</f>
        <v>M</v>
      </c>
    </row>
    <row r="682" spans="1:18" x14ac:dyDescent="0.2">
      <c r="A682" s="1" t="s">
        <v>96</v>
      </c>
      <c r="B682" s="1" t="s">
        <v>12</v>
      </c>
      <c r="C682" s="2">
        <v>41155</v>
      </c>
      <c r="D682" s="1">
        <v>10</v>
      </c>
      <c r="E682" s="1" t="s">
        <v>47</v>
      </c>
      <c r="I682" s="1" t="s">
        <v>12</v>
      </c>
      <c r="J682" s="1" t="s">
        <v>40</v>
      </c>
      <c r="K682" s="1" t="s">
        <v>14</v>
      </c>
      <c r="L682" s="1" t="s">
        <v>12</v>
      </c>
      <c r="M682" s="1" t="s">
        <v>12</v>
      </c>
      <c r="N682" s="1">
        <v>27.12</v>
      </c>
      <c r="O682" s="1" t="s">
        <v>30</v>
      </c>
      <c r="P682" s="1" t="s">
        <v>28</v>
      </c>
      <c r="Q682" s="1" t="s">
        <v>16</v>
      </c>
      <c r="R682" s="1" t="str">
        <f>IF(N682="","",VLOOKUP(N682,Prior_levels,2,TRUE))</f>
        <v>M</v>
      </c>
    </row>
    <row r="683" spans="1:18" x14ac:dyDescent="0.2">
      <c r="A683" s="1" t="s">
        <v>96</v>
      </c>
      <c r="B683" s="1" t="s">
        <v>12</v>
      </c>
      <c r="C683" s="2">
        <v>41155</v>
      </c>
      <c r="D683" s="1">
        <v>10</v>
      </c>
      <c r="E683" s="1" t="s">
        <v>47</v>
      </c>
      <c r="I683" s="1" t="s">
        <v>12</v>
      </c>
      <c r="J683" s="1" t="s">
        <v>40</v>
      </c>
      <c r="K683" s="1" t="s">
        <v>14</v>
      </c>
      <c r="L683" s="1" t="s">
        <v>12</v>
      </c>
      <c r="M683" s="1" t="s">
        <v>12</v>
      </c>
      <c r="N683" s="1">
        <v>27.12</v>
      </c>
      <c r="O683" s="1" t="s">
        <v>31</v>
      </c>
      <c r="P683" s="1" t="s">
        <v>28</v>
      </c>
      <c r="Q683" s="1" t="s">
        <v>16</v>
      </c>
      <c r="R683" s="1" t="str">
        <f>IF(N683="","",VLOOKUP(N683,Prior_levels,2,TRUE))</f>
        <v>M</v>
      </c>
    </row>
    <row r="684" spans="1:18" x14ac:dyDescent="0.2">
      <c r="A684" s="1" t="s">
        <v>96</v>
      </c>
      <c r="B684" s="1" t="s">
        <v>12</v>
      </c>
      <c r="C684" s="2">
        <v>41155</v>
      </c>
      <c r="D684" s="1">
        <v>10</v>
      </c>
      <c r="E684" s="1" t="s">
        <v>47</v>
      </c>
      <c r="I684" s="1" t="s">
        <v>12</v>
      </c>
      <c r="J684" s="1" t="s">
        <v>40</v>
      </c>
      <c r="K684" s="1" t="s">
        <v>14</v>
      </c>
      <c r="L684" s="1" t="s">
        <v>12</v>
      </c>
      <c r="M684" s="1" t="s">
        <v>12</v>
      </c>
      <c r="N684" s="1">
        <v>27.12</v>
      </c>
      <c r="O684" s="1" t="s">
        <v>32</v>
      </c>
      <c r="P684" s="1" t="s">
        <v>28</v>
      </c>
      <c r="Q684" s="1" t="s">
        <v>16</v>
      </c>
      <c r="R684" s="1" t="str">
        <f>IF(N684="","",VLOOKUP(N684,Prior_levels,2,TRUE))</f>
        <v>M</v>
      </c>
    </row>
    <row r="685" spans="1:18" x14ac:dyDescent="0.2">
      <c r="A685" s="1" t="s">
        <v>97</v>
      </c>
      <c r="B685" s="1" t="s">
        <v>12</v>
      </c>
      <c r="C685" s="2">
        <v>41155</v>
      </c>
      <c r="D685" s="1">
        <v>10</v>
      </c>
      <c r="E685" s="1" t="s">
        <v>34</v>
      </c>
      <c r="I685" s="1" t="s">
        <v>12</v>
      </c>
      <c r="J685" s="1" t="s">
        <v>40</v>
      </c>
      <c r="K685" s="1" t="s">
        <v>14</v>
      </c>
      <c r="L685" s="1" t="s">
        <v>12</v>
      </c>
      <c r="M685" s="1" t="s">
        <v>12</v>
      </c>
      <c r="N685" s="1">
        <v>27.12</v>
      </c>
      <c r="O685" s="1" t="s">
        <v>15</v>
      </c>
      <c r="P685" s="1">
        <v>4.6500000000000004</v>
      </c>
      <c r="Q685" s="1" t="s">
        <v>16</v>
      </c>
      <c r="R685" s="1" t="str">
        <f>IF(N685="","",VLOOKUP(N685,Prior_levels,2,TRUE))</f>
        <v>M</v>
      </c>
    </row>
    <row r="686" spans="1:18" x14ac:dyDescent="0.2">
      <c r="A686" s="1" t="s">
        <v>97</v>
      </c>
      <c r="B686" s="1" t="s">
        <v>12</v>
      </c>
      <c r="C686" s="2">
        <v>41155</v>
      </c>
      <c r="D686" s="1">
        <v>10</v>
      </c>
      <c r="E686" s="1" t="s">
        <v>34</v>
      </c>
      <c r="I686" s="1" t="s">
        <v>12</v>
      </c>
      <c r="J686" s="1" t="s">
        <v>40</v>
      </c>
      <c r="K686" s="1" t="s">
        <v>14</v>
      </c>
      <c r="L686" s="1" t="s">
        <v>12</v>
      </c>
      <c r="M686" s="1" t="s">
        <v>12</v>
      </c>
      <c r="N686" s="1">
        <v>27.12</v>
      </c>
      <c r="O686" s="1" t="s">
        <v>17</v>
      </c>
      <c r="P686" s="1">
        <v>0.1</v>
      </c>
      <c r="Q686" s="1" t="s">
        <v>16</v>
      </c>
      <c r="R686" s="1" t="str">
        <f>IF(N686="","",VLOOKUP(N686,Prior_levels,2,TRUE))</f>
        <v>M</v>
      </c>
    </row>
    <row r="687" spans="1:18" x14ac:dyDescent="0.2">
      <c r="A687" s="1" t="s">
        <v>97</v>
      </c>
      <c r="B687" s="1" t="s">
        <v>12</v>
      </c>
      <c r="C687" s="2">
        <v>41155</v>
      </c>
      <c r="D687" s="1">
        <v>10</v>
      </c>
      <c r="E687" s="1" t="s">
        <v>34</v>
      </c>
      <c r="I687" s="1" t="s">
        <v>12</v>
      </c>
      <c r="J687" s="1" t="s">
        <v>40</v>
      </c>
      <c r="K687" s="1" t="s">
        <v>14</v>
      </c>
      <c r="L687" s="1" t="s">
        <v>12</v>
      </c>
      <c r="M687" s="1" t="s">
        <v>12</v>
      </c>
      <c r="N687" s="1">
        <v>27.12</v>
      </c>
      <c r="O687" s="1" t="s">
        <v>18</v>
      </c>
      <c r="P687" s="1">
        <v>10</v>
      </c>
      <c r="Q687" s="1" t="s">
        <v>16</v>
      </c>
      <c r="R687" s="1" t="str">
        <f>IF(N687="","",VLOOKUP(N687,Prior_levels,2,TRUE))</f>
        <v>M</v>
      </c>
    </row>
    <row r="688" spans="1:18" x14ac:dyDescent="0.2">
      <c r="A688" s="1" t="s">
        <v>97</v>
      </c>
      <c r="B688" s="1" t="s">
        <v>12</v>
      </c>
      <c r="C688" s="2">
        <v>41155</v>
      </c>
      <c r="D688" s="1">
        <v>10</v>
      </c>
      <c r="E688" s="1" t="s">
        <v>34</v>
      </c>
      <c r="I688" s="1" t="s">
        <v>12</v>
      </c>
      <c r="J688" s="1" t="s">
        <v>40</v>
      </c>
      <c r="K688" s="1" t="s">
        <v>14</v>
      </c>
      <c r="L688" s="1" t="s">
        <v>12</v>
      </c>
      <c r="M688" s="1" t="s">
        <v>12</v>
      </c>
      <c r="N688" s="1">
        <v>27.12</v>
      </c>
      <c r="O688" s="1" t="s">
        <v>19</v>
      </c>
      <c r="P688" s="1">
        <v>10</v>
      </c>
      <c r="Q688" s="1" t="s">
        <v>16</v>
      </c>
      <c r="R688" s="1" t="str">
        <f>IF(N688="","",VLOOKUP(N688,Prior_levels,2,TRUE))</f>
        <v>M</v>
      </c>
    </row>
    <row r="689" spans="1:18" x14ac:dyDescent="0.2">
      <c r="A689" s="1" t="s">
        <v>97</v>
      </c>
      <c r="B689" s="1" t="s">
        <v>12</v>
      </c>
      <c r="C689" s="2">
        <v>41155</v>
      </c>
      <c r="D689" s="1">
        <v>10</v>
      </c>
      <c r="E689" s="1" t="s">
        <v>34</v>
      </c>
      <c r="I689" s="1" t="s">
        <v>12</v>
      </c>
      <c r="J689" s="1" t="s">
        <v>40</v>
      </c>
      <c r="K689" s="1" t="s">
        <v>14</v>
      </c>
      <c r="L689" s="1" t="s">
        <v>12</v>
      </c>
      <c r="M689" s="1" t="s">
        <v>12</v>
      </c>
      <c r="N689" s="1">
        <v>27.12</v>
      </c>
      <c r="O689" s="1" t="s">
        <v>20</v>
      </c>
      <c r="P689" s="1">
        <v>13.5</v>
      </c>
      <c r="Q689" s="1" t="s">
        <v>16</v>
      </c>
      <c r="R689" s="1" t="str">
        <f>IF(N689="","",VLOOKUP(N689,Prior_levels,2,TRUE))</f>
        <v>M</v>
      </c>
    </row>
    <row r="690" spans="1:18" x14ac:dyDescent="0.2">
      <c r="A690" s="1" t="s">
        <v>97</v>
      </c>
      <c r="B690" s="1" t="s">
        <v>12</v>
      </c>
      <c r="C690" s="2">
        <v>41155</v>
      </c>
      <c r="D690" s="1">
        <v>10</v>
      </c>
      <c r="E690" s="1" t="s">
        <v>34</v>
      </c>
      <c r="I690" s="1" t="s">
        <v>12</v>
      </c>
      <c r="J690" s="1" t="s">
        <v>40</v>
      </c>
      <c r="K690" s="1" t="s">
        <v>14</v>
      </c>
      <c r="L690" s="1" t="s">
        <v>12</v>
      </c>
      <c r="M690" s="1" t="s">
        <v>12</v>
      </c>
      <c r="N690" s="1">
        <v>27.12</v>
      </c>
      <c r="O690" s="1" t="s">
        <v>21</v>
      </c>
      <c r="P690" s="1">
        <v>13</v>
      </c>
      <c r="Q690" s="1" t="s">
        <v>16</v>
      </c>
      <c r="R690" s="1" t="str">
        <f>IF(N690="","",VLOOKUP(N690,Prior_levels,2,TRUE))</f>
        <v>M</v>
      </c>
    </row>
    <row r="691" spans="1:18" x14ac:dyDescent="0.2">
      <c r="A691" s="1" t="s">
        <v>97</v>
      </c>
      <c r="B691" s="1" t="s">
        <v>12</v>
      </c>
      <c r="C691" s="2">
        <v>41155</v>
      </c>
      <c r="D691" s="1">
        <v>10</v>
      </c>
      <c r="E691" s="1" t="s">
        <v>34</v>
      </c>
      <c r="I691" s="1" t="s">
        <v>12</v>
      </c>
      <c r="J691" s="1" t="s">
        <v>40</v>
      </c>
      <c r="K691" s="1" t="s">
        <v>14</v>
      </c>
      <c r="L691" s="1" t="s">
        <v>12</v>
      </c>
      <c r="M691" s="1" t="s">
        <v>12</v>
      </c>
      <c r="N691" s="1">
        <v>27.12</v>
      </c>
      <c r="O691" s="1" t="s">
        <v>22</v>
      </c>
      <c r="P691" s="1">
        <v>-0.05</v>
      </c>
      <c r="Q691" s="1" t="s">
        <v>16</v>
      </c>
      <c r="R691" s="1" t="str">
        <f>IF(N691="","",VLOOKUP(N691,Prior_levels,2,TRUE))</f>
        <v>M</v>
      </c>
    </row>
    <row r="692" spans="1:18" x14ac:dyDescent="0.2">
      <c r="A692" s="1" t="s">
        <v>97</v>
      </c>
      <c r="B692" s="1" t="s">
        <v>12</v>
      </c>
      <c r="C692" s="2">
        <v>41155</v>
      </c>
      <c r="D692" s="1">
        <v>10</v>
      </c>
      <c r="E692" s="1" t="s">
        <v>34</v>
      </c>
      <c r="I692" s="1" t="s">
        <v>12</v>
      </c>
      <c r="J692" s="1" t="s">
        <v>40</v>
      </c>
      <c r="K692" s="1" t="s">
        <v>14</v>
      </c>
      <c r="L692" s="1" t="s">
        <v>12</v>
      </c>
      <c r="M692" s="1" t="s">
        <v>12</v>
      </c>
      <c r="N692" s="1">
        <v>27.12</v>
      </c>
      <c r="O692" s="1" t="s">
        <v>23</v>
      </c>
      <c r="P692" s="1">
        <v>0.36</v>
      </c>
      <c r="Q692" s="1" t="s">
        <v>16</v>
      </c>
      <c r="R692" s="1" t="str">
        <f>IF(N692="","",VLOOKUP(N692,Prior_levels,2,TRUE))</f>
        <v>M</v>
      </c>
    </row>
    <row r="693" spans="1:18" x14ac:dyDescent="0.2">
      <c r="A693" s="1" t="s">
        <v>97</v>
      </c>
      <c r="B693" s="1" t="s">
        <v>12</v>
      </c>
      <c r="C693" s="2">
        <v>41155</v>
      </c>
      <c r="D693" s="1">
        <v>10</v>
      </c>
      <c r="E693" s="1" t="s">
        <v>34</v>
      </c>
      <c r="I693" s="1" t="s">
        <v>12</v>
      </c>
      <c r="J693" s="1" t="s">
        <v>40</v>
      </c>
      <c r="K693" s="1" t="s">
        <v>14</v>
      </c>
      <c r="L693" s="1" t="s">
        <v>12</v>
      </c>
      <c r="M693" s="1" t="s">
        <v>12</v>
      </c>
      <c r="N693" s="1">
        <v>27.12</v>
      </c>
      <c r="O693" s="1" t="s">
        <v>24</v>
      </c>
      <c r="P693" s="1">
        <v>2.25</v>
      </c>
      <c r="Q693" s="1" t="s">
        <v>16</v>
      </c>
      <c r="R693" s="1" t="str">
        <f>IF(N693="","",VLOOKUP(N693,Prior_levels,2,TRUE))</f>
        <v>M</v>
      </c>
    </row>
    <row r="694" spans="1:18" x14ac:dyDescent="0.2">
      <c r="A694" s="1" t="s">
        <v>97</v>
      </c>
      <c r="B694" s="1" t="s">
        <v>12</v>
      </c>
      <c r="C694" s="2">
        <v>41155</v>
      </c>
      <c r="D694" s="1">
        <v>10</v>
      </c>
      <c r="E694" s="1" t="s">
        <v>34</v>
      </c>
      <c r="I694" s="1" t="s">
        <v>12</v>
      </c>
      <c r="J694" s="1" t="s">
        <v>40</v>
      </c>
      <c r="K694" s="1" t="s">
        <v>14</v>
      </c>
      <c r="L694" s="1" t="s">
        <v>12</v>
      </c>
      <c r="M694" s="1" t="s">
        <v>12</v>
      </c>
      <c r="N694" s="1">
        <v>27.12</v>
      </c>
      <c r="O694" s="1" t="s">
        <v>25</v>
      </c>
      <c r="P694" s="1">
        <v>-1.89</v>
      </c>
      <c r="Q694" s="1" t="s">
        <v>16</v>
      </c>
      <c r="R694" s="1" t="str">
        <f>IF(N694="","",VLOOKUP(N694,Prior_levels,2,TRUE))</f>
        <v>M</v>
      </c>
    </row>
    <row r="695" spans="1:18" x14ac:dyDescent="0.2">
      <c r="A695" s="1" t="s">
        <v>97</v>
      </c>
      <c r="B695" s="1" t="s">
        <v>12</v>
      </c>
      <c r="C695" s="2">
        <v>41155</v>
      </c>
      <c r="D695" s="1">
        <v>10</v>
      </c>
      <c r="E695" s="1" t="s">
        <v>34</v>
      </c>
      <c r="I695" s="1" t="s">
        <v>12</v>
      </c>
      <c r="J695" s="1" t="s">
        <v>40</v>
      </c>
      <c r="K695" s="1" t="s">
        <v>14</v>
      </c>
      <c r="L695" s="1" t="s">
        <v>12</v>
      </c>
      <c r="M695" s="1" t="s">
        <v>12</v>
      </c>
      <c r="N695" s="1">
        <v>27.12</v>
      </c>
      <c r="O695" s="1" t="s">
        <v>26</v>
      </c>
      <c r="P695" s="1">
        <v>10</v>
      </c>
      <c r="Q695" s="1" t="s">
        <v>16</v>
      </c>
      <c r="R695" s="1" t="str">
        <f>IF(N695="","",VLOOKUP(N695,Prior_levels,2,TRUE))</f>
        <v>M</v>
      </c>
    </row>
    <row r="696" spans="1:18" x14ac:dyDescent="0.2">
      <c r="A696" s="1" t="s">
        <v>97</v>
      </c>
      <c r="B696" s="1" t="s">
        <v>12</v>
      </c>
      <c r="C696" s="2">
        <v>41155</v>
      </c>
      <c r="D696" s="1">
        <v>10</v>
      </c>
      <c r="E696" s="1" t="s">
        <v>34</v>
      </c>
      <c r="I696" s="1" t="s">
        <v>12</v>
      </c>
      <c r="J696" s="1" t="s">
        <v>40</v>
      </c>
      <c r="K696" s="1" t="s">
        <v>14</v>
      </c>
      <c r="L696" s="1" t="s">
        <v>12</v>
      </c>
      <c r="M696" s="1" t="s">
        <v>12</v>
      </c>
      <c r="N696" s="1">
        <v>27.12</v>
      </c>
      <c r="O696" s="1" t="s">
        <v>32</v>
      </c>
      <c r="P696" s="1" t="s">
        <v>37</v>
      </c>
      <c r="Q696" s="1" t="s">
        <v>16</v>
      </c>
      <c r="R696" s="1" t="str">
        <f>IF(N696="","",VLOOKUP(N696,Prior_levels,2,TRUE))</f>
        <v>M</v>
      </c>
    </row>
    <row r="697" spans="1:18" x14ac:dyDescent="0.2">
      <c r="A697" s="1" t="s">
        <v>97</v>
      </c>
      <c r="B697" s="1" t="s">
        <v>12</v>
      </c>
      <c r="C697" s="2">
        <v>41155</v>
      </c>
      <c r="D697" s="1">
        <v>10</v>
      </c>
      <c r="E697" s="1" t="s">
        <v>34</v>
      </c>
      <c r="I697" s="1" t="s">
        <v>12</v>
      </c>
      <c r="J697" s="1" t="s">
        <v>40</v>
      </c>
      <c r="K697" s="1" t="s">
        <v>14</v>
      </c>
      <c r="L697" s="1" t="s">
        <v>12</v>
      </c>
      <c r="M697" s="1" t="s">
        <v>12</v>
      </c>
      <c r="N697" s="1">
        <v>27.12</v>
      </c>
      <c r="O697" s="1" t="s">
        <v>27</v>
      </c>
      <c r="P697" s="1" t="s">
        <v>37</v>
      </c>
      <c r="Q697" s="1" t="s">
        <v>16</v>
      </c>
      <c r="R697" s="1" t="str">
        <f>IF(N697="","",VLOOKUP(N697,Prior_levels,2,TRUE))</f>
        <v>M</v>
      </c>
    </row>
    <row r="698" spans="1:18" x14ac:dyDescent="0.2">
      <c r="A698" s="1" t="s">
        <v>97</v>
      </c>
      <c r="B698" s="1" t="s">
        <v>12</v>
      </c>
      <c r="C698" s="2">
        <v>41155</v>
      </c>
      <c r="D698" s="1">
        <v>10</v>
      </c>
      <c r="E698" s="1" t="s">
        <v>34</v>
      </c>
      <c r="I698" s="1" t="s">
        <v>12</v>
      </c>
      <c r="J698" s="1" t="s">
        <v>40</v>
      </c>
      <c r="K698" s="1" t="s">
        <v>14</v>
      </c>
      <c r="L698" s="1" t="s">
        <v>12</v>
      </c>
      <c r="M698" s="1" t="s">
        <v>12</v>
      </c>
      <c r="N698" s="1">
        <v>27.12</v>
      </c>
      <c r="O698" s="1" t="s">
        <v>29</v>
      </c>
      <c r="P698" s="1" t="s">
        <v>37</v>
      </c>
      <c r="Q698" s="1" t="s">
        <v>16</v>
      </c>
      <c r="R698" s="1" t="str">
        <f>IF(N698="","",VLOOKUP(N698,Prior_levels,2,TRUE))</f>
        <v>M</v>
      </c>
    </row>
    <row r="699" spans="1:18" x14ac:dyDescent="0.2">
      <c r="A699" s="1" t="s">
        <v>97</v>
      </c>
      <c r="B699" s="1" t="s">
        <v>12</v>
      </c>
      <c r="C699" s="2">
        <v>41155</v>
      </c>
      <c r="D699" s="1">
        <v>10</v>
      </c>
      <c r="E699" s="1" t="s">
        <v>34</v>
      </c>
      <c r="I699" s="1" t="s">
        <v>12</v>
      </c>
      <c r="J699" s="1" t="s">
        <v>40</v>
      </c>
      <c r="K699" s="1" t="s">
        <v>14</v>
      </c>
      <c r="L699" s="1" t="s">
        <v>12</v>
      </c>
      <c r="M699" s="1" t="s">
        <v>12</v>
      </c>
      <c r="N699" s="1">
        <v>27.12</v>
      </c>
      <c r="O699" s="1" t="s">
        <v>30</v>
      </c>
      <c r="P699" s="1" t="s">
        <v>37</v>
      </c>
      <c r="Q699" s="1" t="s">
        <v>16</v>
      </c>
      <c r="R699" s="1" t="str">
        <f>IF(N699="","",VLOOKUP(N699,Prior_levels,2,TRUE))</f>
        <v>M</v>
      </c>
    </row>
    <row r="700" spans="1:18" x14ac:dyDescent="0.2">
      <c r="A700" s="1" t="s">
        <v>97</v>
      </c>
      <c r="B700" s="1" t="s">
        <v>12</v>
      </c>
      <c r="C700" s="2">
        <v>41155</v>
      </c>
      <c r="D700" s="1">
        <v>10</v>
      </c>
      <c r="E700" s="1" t="s">
        <v>34</v>
      </c>
      <c r="I700" s="1" t="s">
        <v>12</v>
      </c>
      <c r="J700" s="1" t="s">
        <v>40</v>
      </c>
      <c r="K700" s="1" t="s">
        <v>14</v>
      </c>
      <c r="L700" s="1" t="s">
        <v>12</v>
      </c>
      <c r="M700" s="1" t="s">
        <v>12</v>
      </c>
      <c r="N700" s="1">
        <v>27.12</v>
      </c>
      <c r="O700" s="1" t="s">
        <v>31</v>
      </c>
      <c r="P700" s="1" t="s">
        <v>28</v>
      </c>
      <c r="Q700" s="1" t="s">
        <v>16</v>
      </c>
      <c r="R700" s="1" t="str">
        <f>IF(N700="","",VLOOKUP(N700,Prior_levels,2,TRUE))</f>
        <v>M</v>
      </c>
    </row>
    <row r="701" spans="1:18" x14ac:dyDescent="0.2">
      <c r="A701" s="1" t="s">
        <v>98</v>
      </c>
      <c r="B701" s="1" t="s">
        <v>12</v>
      </c>
      <c r="C701" s="2">
        <v>41155</v>
      </c>
      <c r="D701" s="1">
        <v>10</v>
      </c>
      <c r="E701" s="1" t="s">
        <v>42</v>
      </c>
      <c r="I701" s="1" t="s">
        <v>12</v>
      </c>
      <c r="J701" s="1" t="s">
        <v>40</v>
      </c>
      <c r="K701" s="1" t="s">
        <v>14</v>
      </c>
      <c r="L701" s="1" t="s">
        <v>35</v>
      </c>
      <c r="M701" s="1" t="s">
        <v>35</v>
      </c>
      <c r="N701" s="1">
        <v>39.18</v>
      </c>
      <c r="O701" s="1" t="s">
        <v>15</v>
      </c>
      <c r="P701" s="1">
        <v>5.5</v>
      </c>
      <c r="Q701" s="1" t="s">
        <v>16</v>
      </c>
      <c r="R701" s="1" t="str">
        <f>IF(N701="","",VLOOKUP(N701,Prior_levels,2,TRUE))</f>
        <v>H</v>
      </c>
    </row>
    <row r="702" spans="1:18" x14ac:dyDescent="0.2">
      <c r="A702" s="1" t="s">
        <v>98</v>
      </c>
      <c r="B702" s="1" t="s">
        <v>12</v>
      </c>
      <c r="C702" s="2">
        <v>41155</v>
      </c>
      <c r="D702" s="1">
        <v>10</v>
      </c>
      <c r="E702" s="1" t="s">
        <v>42</v>
      </c>
      <c r="I702" s="1" t="s">
        <v>12</v>
      </c>
      <c r="J702" s="1" t="s">
        <v>40</v>
      </c>
      <c r="K702" s="1" t="s">
        <v>14</v>
      </c>
      <c r="L702" s="1" t="s">
        <v>35</v>
      </c>
      <c r="M702" s="1" t="s">
        <v>35</v>
      </c>
      <c r="N702" s="1">
        <v>39.18</v>
      </c>
      <c r="O702" s="1" t="s">
        <v>18</v>
      </c>
      <c r="P702" s="1">
        <v>10</v>
      </c>
      <c r="Q702" s="1" t="s">
        <v>16</v>
      </c>
      <c r="R702" s="1" t="str">
        <f>IF(N702="","",VLOOKUP(N702,Prior_levels,2,TRUE))</f>
        <v>H</v>
      </c>
    </row>
    <row r="703" spans="1:18" x14ac:dyDescent="0.2">
      <c r="A703" s="1" t="s">
        <v>98</v>
      </c>
      <c r="B703" s="1" t="s">
        <v>12</v>
      </c>
      <c r="C703" s="2">
        <v>41155</v>
      </c>
      <c r="D703" s="1">
        <v>10</v>
      </c>
      <c r="E703" s="1" t="s">
        <v>42</v>
      </c>
      <c r="I703" s="1" t="s">
        <v>12</v>
      </c>
      <c r="J703" s="1" t="s">
        <v>40</v>
      </c>
      <c r="K703" s="1" t="s">
        <v>14</v>
      </c>
      <c r="L703" s="1" t="s">
        <v>35</v>
      </c>
      <c r="M703" s="1" t="s">
        <v>35</v>
      </c>
      <c r="N703" s="1">
        <v>39.18</v>
      </c>
      <c r="O703" s="1" t="s">
        <v>19</v>
      </c>
      <c r="P703" s="1">
        <v>14</v>
      </c>
      <c r="Q703" s="1" t="s">
        <v>16</v>
      </c>
      <c r="R703" s="1" t="str">
        <f>IF(N703="","",VLOOKUP(N703,Prior_levels,2,TRUE))</f>
        <v>H</v>
      </c>
    </row>
    <row r="704" spans="1:18" x14ac:dyDescent="0.2">
      <c r="A704" s="1" t="s">
        <v>98</v>
      </c>
      <c r="B704" s="1" t="s">
        <v>12</v>
      </c>
      <c r="C704" s="2">
        <v>41155</v>
      </c>
      <c r="D704" s="1">
        <v>10</v>
      </c>
      <c r="E704" s="1" t="s">
        <v>42</v>
      </c>
      <c r="I704" s="1" t="s">
        <v>12</v>
      </c>
      <c r="J704" s="1" t="s">
        <v>40</v>
      </c>
      <c r="K704" s="1" t="s">
        <v>14</v>
      </c>
      <c r="L704" s="1" t="s">
        <v>35</v>
      </c>
      <c r="M704" s="1" t="s">
        <v>35</v>
      </c>
      <c r="N704" s="1">
        <v>39.18</v>
      </c>
      <c r="O704" s="1" t="s">
        <v>20</v>
      </c>
      <c r="P704" s="1">
        <v>18</v>
      </c>
      <c r="Q704" s="1" t="s">
        <v>16</v>
      </c>
      <c r="R704" s="1" t="str">
        <f>IF(N704="","",VLOOKUP(N704,Prior_levels,2,TRUE))</f>
        <v>H</v>
      </c>
    </row>
    <row r="705" spans="1:18" x14ac:dyDescent="0.2">
      <c r="A705" s="1" t="s">
        <v>98</v>
      </c>
      <c r="B705" s="1" t="s">
        <v>12</v>
      </c>
      <c r="C705" s="2">
        <v>41155</v>
      </c>
      <c r="D705" s="1">
        <v>10</v>
      </c>
      <c r="E705" s="1" t="s">
        <v>42</v>
      </c>
      <c r="I705" s="1" t="s">
        <v>12</v>
      </c>
      <c r="J705" s="1" t="s">
        <v>40</v>
      </c>
      <c r="K705" s="1" t="s">
        <v>14</v>
      </c>
      <c r="L705" s="1" t="s">
        <v>35</v>
      </c>
      <c r="M705" s="1" t="s">
        <v>35</v>
      </c>
      <c r="N705" s="1">
        <v>39.18</v>
      </c>
      <c r="O705" s="1" t="s">
        <v>21</v>
      </c>
      <c r="P705" s="1">
        <v>13</v>
      </c>
      <c r="Q705" s="1" t="s">
        <v>16</v>
      </c>
      <c r="R705" s="1" t="str">
        <f>IF(N705="","",VLOOKUP(N705,Prior_levels,2,TRUE))</f>
        <v>H</v>
      </c>
    </row>
    <row r="706" spans="1:18" x14ac:dyDescent="0.2">
      <c r="A706" s="1" t="s">
        <v>98</v>
      </c>
      <c r="B706" s="1" t="s">
        <v>12</v>
      </c>
      <c r="C706" s="2">
        <v>41155</v>
      </c>
      <c r="D706" s="1">
        <v>10</v>
      </c>
      <c r="E706" s="1" t="s">
        <v>42</v>
      </c>
      <c r="I706" s="1" t="s">
        <v>12</v>
      </c>
      <c r="J706" s="1" t="s">
        <v>40</v>
      </c>
      <c r="K706" s="1" t="s">
        <v>14</v>
      </c>
      <c r="L706" s="1" t="s">
        <v>35</v>
      </c>
      <c r="M706" s="1" t="s">
        <v>35</v>
      </c>
      <c r="N706" s="1">
        <v>39.18</v>
      </c>
      <c r="O706" s="1" t="s">
        <v>26</v>
      </c>
      <c r="P706" s="1">
        <v>8</v>
      </c>
      <c r="Q706" s="1" t="s">
        <v>16</v>
      </c>
      <c r="R706" s="1" t="str">
        <f>IF(N706="","",VLOOKUP(N706,Prior_levels,2,TRUE))</f>
        <v>H</v>
      </c>
    </row>
    <row r="707" spans="1:18" x14ac:dyDescent="0.2">
      <c r="A707" s="1" t="s">
        <v>98</v>
      </c>
      <c r="B707" s="1" t="s">
        <v>12</v>
      </c>
      <c r="C707" s="2">
        <v>41155</v>
      </c>
      <c r="D707" s="1">
        <v>10</v>
      </c>
      <c r="E707" s="1" t="s">
        <v>42</v>
      </c>
      <c r="I707" s="1" t="s">
        <v>12</v>
      </c>
      <c r="J707" s="1" t="s">
        <v>40</v>
      </c>
      <c r="K707" s="1" t="s">
        <v>14</v>
      </c>
      <c r="L707" s="1" t="s">
        <v>35</v>
      </c>
      <c r="M707" s="1" t="s">
        <v>35</v>
      </c>
      <c r="N707" s="1">
        <v>39.18</v>
      </c>
      <c r="O707" s="1" t="s">
        <v>32</v>
      </c>
      <c r="P707" s="1" t="s">
        <v>37</v>
      </c>
      <c r="Q707" s="1" t="s">
        <v>16</v>
      </c>
      <c r="R707" s="1" t="str">
        <f>IF(N707="","",VLOOKUP(N707,Prior_levels,2,TRUE))</f>
        <v>H</v>
      </c>
    </row>
    <row r="708" spans="1:18" x14ac:dyDescent="0.2">
      <c r="A708" s="1" t="s">
        <v>98</v>
      </c>
      <c r="B708" s="1" t="s">
        <v>12</v>
      </c>
      <c r="C708" s="2">
        <v>41155</v>
      </c>
      <c r="D708" s="1">
        <v>10</v>
      </c>
      <c r="E708" s="1" t="s">
        <v>42</v>
      </c>
      <c r="I708" s="1" t="s">
        <v>12</v>
      </c>
      <c r="J708" s="1" t="s">
        <v>40</v>
      </c>
      <c r="K708" s="1" t="s">
        <v>14</v>
      </c>
      <c r="L708" s="1" t="s">
        <v>35</v>
      </c>
      <c r="M708" s="1" t="s">
        <v>35</v>
      </c>
      <c r="N708" s="1">
        <v>39.18</v>
      </c>
      <c r="O708" s="1" t="s">
        <v>27</v>
      </c>
      <c r="P708" s="1" t="s">
        <v>37</v>
      </c>
      <c r="Q708" s="1" t="s">
        <v>16</v>
      </c>
      <c r="R708" s="1" t="str">
        <f>IF(N708="","",VLOOKUP(N708,Prior_levels,2,TRUE))</f>
        <v>H</v>
      </c>
    </row>
    <row r="709" spans="1:18" x14ac:dyDescent="0.2">
      <c r="A709" s="1" t="s">
        <v>98</v>
      </c>
      <c r="B709" s="1" t="s">
        <v>12</v>
      </c>
      <c r="C709" s="2">
        <v>41155</v>
      </c>
      <c r="D709" s="1">
        <v>10</v>
      </c>
      <c r="E709" s="1" t="s">
        <v>42</v>
      </c>
      <c r="I709" s="1" t="s">
        <v>12</v>
      </c>
      <c r="J709" s="1" t="s">
        <v>40</v>
      </c>
      <c r="K709" s="1" t="s">
        <v>14</v>
      </c>
      <c r="L709" s="1" t="s">
        <v>35</v>
      </c>
      <c r="M709" s="1" t="s">
        <v>35</v>
      </c>
      <c r="N709" s="1">
        <v>39.18</v>
      </c>
      <c r="O709" s="1" t="s">
        <v>29</v>
      </c>
      <c r="P709" s="1" t="s">
        <v>37</v>
      </c>
      <c r="Q709" s="1" t="s">
        <v>16</v>
      </c>
      <c r="R709" s="1" t="str">
        <f>IF(N709="","",VLOOKUP(N709,Prior_levels,2,TRUE))</f>
        <v>H</v>
      </c>
    </row>
    <row r="710" spans="1:18" x14ac:dyDescent="0.2">
      <c r="A710" s="1" t="s">
        <v>98</v>
      </c>
      <c r="B710" s="1" t="s">
        <v>12</v>
      </c>
      <c r="C710" s="2">
        <v>41155</v>
      </c>
      <c r="D710" s="1">
        <v>10</v>
      </c>
      <c r="E710" s="1" t="s">
        <v>42</v>
      </c>
      <c r="I710" s="1" t="s">
        <v>12</v>
      </c>
      <c r="J710" s="1" t="s">
        <v>40</v>
      </c>
      <c r="K710" s="1" t="s">
        <v>14</v>
      </c>
      <c r="L710" s="1" t="s">
        <v>35</v>
      </c>
      <c r="M710" s="1" t="s">
        <v>35</v>
      </c>
      <c r="N710" s="1">
        <v>39.18</v>
      </c>
      <c r="O710" s="1" t="s">
        <v>30</v>
      </c>
      <c r="P710" s="1" t="s">
        <v>37</v>
      </c>
      <c r="Q710" s="1" t="s">
        <v>16</v>
      </c>
      <c r="R710" s="1" t="str">
        <f>IF(N710="","",VLOOKUP(N710,Prior_levels,2,TRUE))</f>
        <v>H</v>
      </c>
    </row>
    <row r="711" spans="1:18" x14ac:dyDescent="0.2">
      <c r="A711" s="1" t="s">
        <v>98</v>
      </c>
      <c r="B711" s="1" t="s">
        <v>12</v>
      </c>
      <c r="C711" s="2">
        <v>41155</v>
      </c>
      <c r="D711" s="1">
        <v>10</v>
      </c>
      <c r="E711" s="1" t="s">
        <v>42</v>
      </c>
      <c r="I711" s="1" t="s">
        <v>12</v>
      </c>
      <c r="J711" s="1" t="s">
        <v>40</v>
      </c>
      <c r="K711" s="1" t="s">
        <v>14</v>
      </c>
      <c r="L711" s="1" t="s">
        <v>35</v>
      </c>
      <c r="M711" s="1" t="s">
        <v>35</v>
      </c>
      <c r="N711" s="1">
        <v>39.18</v>
      </c>
      <c r="O711" s="1" t="s">
        <v>31</v>
      </c>
      <c r="P711" s="1" t="s">
        <v>28</v>
      </c>
      <c r="Q711" s="1" t="s">
        <v>16</v>
      </c>
      <c r="R711" s="1" t="str">
        <f>IF(N711="","",VLOOKUP(N711,Prior_levels,2,TRUE))</f>
        <v>H</v>
      </c>
    </row>
    <row r="712" spans="1:18" x14ac:dyDescent="0.2">
      <c r="A712" s="1" t="s">
        <v>99</v>
      </c>
      <c r="B712" s="1" t="s">
        <v>12</v>
      </c>
      <c r="C712" s="2">
        <v>41155</v>
      </c>
      <c r="D712" s="1">
        <v>10</v>
      </c>
      <c r="E712" s="1" t="s">
        <v>34</v>
      </c>
      <c r="F712" s="1" t="s">
        <v>100</v>
      </c>
      <c r="I712" s="1" t="s">
        <v>12</v>
      </c>
      <c r="J712" s="1" t="s">
        <v>74</v>
      </c>
      <c r="K712" s="1" t="s">
        <v>14</v>
      </c>
      <c r="L712" s="1" t="s">
        <v>12</v>
      </c>
      <c r="M712" s="1" t="s">
        <v>12</v>
      </c>
      <c r="N712" s="1">
        <v>15.06</v>
      </c>
      <c r="O712" s="1" t="s">
        <v>15</v>
      </c>
      <c r="P712" s="1">
        <v>1.9</v>
      </c>
      <c r="Q712" s="1" t="s">
        <v>16</v>
      </c>
      <c r="R712" s="1" t="str">
        <f>IF(N712="","",VLOOKUP(N712,Prior_levels,2,TRUE))</f>
        <v>L</v>
      </c>
    </row>
    <row r="713" spans="1:18" x14ac:dyDescent="0.2">
      <c r="A713" s="1" t="s">
        <v>99</v>
      </c>
      <c r="B713" s="1" t="s">
        <v>12</v>
      </c>
      <c r="C713" s="2">
        <v>41155</v>
      </c>
      <c r="D713" s="1">
        <v>10</v>
      </c>
      <c r="E713" s="1" t="s">
        <v>34</v>
      </c>
      <c r="F713" s="1" t="s">
        <v>100</v>
      </c>
      <c r="I713" s="1" t="s">
        <v>12</v>
      </c>
      <c r="J713" s="1" t="s">
        <v>74</v>
      </c>
      <c r="K713" s="1" t="s">
        <v>14</v>
      </c>
      <c r="L713" s="1" t="s">
        <v>12</v>
      </c>
      <c r="M713" s="1" t="s">
        <v>12</v>
      </c>
      <c r="N713" s="1">
        <v>15.06</v>
      </c>
      <c r="O713" s="1" t="s">
        <v>17</v>
      </c>
      <c r="P713" s="1">
        <v>-0.01</v>
      </c>
      <c r="Q713" s="1" t="s">
        <v>16</v>
      </c>
      <c r="R713" s="1" t="str">
        <f>IF(N713="","",VLOOKUP(N713,Prior_levels,2,TRUE))</f>
        <v>L</v>
      </c>
    </row>
    <row r="714" spans="1:18" x14ac:dyDescent="0.2">
      <c r="A714" s="1" t="s">
        <v>99</v>
      </c>
      <c r="B714" s="1" t="s">
        <v>12</v>
      </c>
      <c r="C714" s="2">
        <v>41155</v>
      </c>
      <c r="D714" s="1">
        <v>10</v>
      </c>
      <c r="E714" s="1" t="s">
        <v>34</v>
      </c>
      <c r="F714" s="1" t="s">
        <v>100</v>
      </c>
      <c r="I714" s="1" t="s">
        <v>12</v>
      </c>
      <c r="J714" s="1" t="s">
        <v>74</v>
      </c>
      <c r="K714" s="1" t="s">
        <v>14</v>
      </c>
      <c r="L714" s="1" t="s">
        <v>12</v>
      </c>
      <c r="M714" s="1" t="s">
        <v>12</v>
      </c>
      <c r="N714" s="1">
        <v>15.06</v>
      </c>
      <c r="O714" s="1" t="s">
        <v>18</v>
      </c>
      <c r="P714" s="1">
        <v>6</v>
      </c>
      <c r="Q714" s="1" t="s">
        <v>16</v>
      </c>
      <c r="R714" s="1" t="str">
        <f>IF(N714="","",VLOOKUP(N714,Prior_levels,2,TRUE))</f>
        <v>L</v>
      </c>
    </row>
    <row r="715" spans="1:18" x14ac:dyDescent="0.2">
      <c r="A715" s="1" t="s">
        <v>99</v>
      </c>
      <c r="B715" s="1" t="s">
        <v>12</v>
      </c>
      <c r="C715" s="2">
        <v>41155</v>
      </c>
      <c r="D715" s="1">
        <v>10</v>
      </c>
      <c r="E715" s="1" t="s">
        <v>34</v>
      </c>
      <c r="F715" s="1" t="s">
        <v>100</v>
      </c>
      <c r="I715" s="1" t="s">
        <v>12</v>
      </c>
      <c r="J715" s="1" t="s">
        <v>74</v>
      </c>
      <c r="K715" s="1" t="s">
        <v>14</v>
      </c>
      <c r="L715" s="1" t="s">
        <v>12</v>
      </c>
      <c r="M715" s="1" t="s">
        <v>12</v>
      </c>
      <c r="N715" s="1">
        <v>15.06</v>
      </c>
      <c r="O715" s="1" t="s">
        <v>19</v>
      </c>
      <c r="P715" s="1">
        <v>2</v>
      </c>
      <c r="Q715" s="1" t="s">
        <v>16</v>
      </c>
      <c r="R715" s="1" t="str">
        <f>IF(N715="","",VLOOKUP(N715,Prior_levels,2,TRUE))</f>
        <v>L</v>
      </c>
    </row>
    <row r="716" spans="1:18" x14ac:dyDescent="0.2">
      <c r="A716" s="1" t="s">
        <v>99</v>
      </c>
      <c r="B716" s="1" t="s">
        <v>12</v>
      </c>
      <c r="C716" s="2">
        <v>41155</v>
      </c>
      <c r="D716" s="1">
        <v>10</v>
      </c>
      <c r="E716" s="1" t="s">
        <v>34</v>
      </c>
      <c r="F716" s="1" t="s">
        <v>100</v>
      </c>
      <c r="I716" s="1" t="s">
        <v>12</v>
      </c>
      <c r="J716" s="1" t="s">
        <v>74</v>
      </c>
      <c r="K716" s="1" t="s">
        <v>14</v>
      </c>
      <c r="L716" s="1" t="s">
        <v>12</v>
      </c>
      <c r="M716" s="1" t="s">
        <v>12</v>
      </c>
      <c r="N716" s="1">
        <v>15.06</v>
      </c>
      <c r="O716" s="1" t="s">
        <v>20</v>
      </c>
      <c r="P716" s="1">
        <v>4</v>
      </c>
      <c r="Q716" s="1" t="s">
        <v>16</v>
      </c>
      <c r="R716" s="1" t="str">
        <f>IF(N716="","",VLOOKUP(N716,Prior_levels,2,TRUE))</f>
        <v>L</v>
      </c>
    </row>
    <row r="717" spans="1:18" x14ac:dyDescent="0.2">
      <c r="A717" s="1" t="s">
        <v>99</v>
      </c>
      <c r="B717" s="1" t="s">
        <v>12</v>
      </c>
      <c r="C717" s="2">
        <v>41155</v>
      </c>
      <c r="D717" s="1">
        <v>10</v>
      </c>
      <c r="E717" s="1" t="s">
        <v>34</v>
      </c>
      <c r="F717" s="1" t="s">
        <v>100</v>
      </c>
      <c r="I717" s="1" t="s">
        <v>12</v>
      </c>
      <c r="J717" s="1" t="s">
        <v>74</v>
      </c>
      <c r="K717" s="1" t="s">
        <v>14</v>
      </c>
      <c r="L717" s="1" t="s">
        <v>12</v>
      </c>
      <c r="M717" s="1" t="s">
        <v>12</v>
      </c>
      <c r="N717" s="1">
        <v>15.06</v>
      </c>
      <c r="O717" s="1" t="s">
        <v>21</v>
      </c>
      <c r="P717" s="1">
        <v>7</v>
      </c>
      <c r="Q717" s="1" t="s">
        <v>16</v>
      </c>
      <c r="R717" s="1" t="str">
        <f>IF(N717="","",VLOOKUP(N717,Prior_levels,2,TRUE))</f>
        <v>L</v>
      </c>
    </row>
    <row r="718" spans="1:18" x14ac:dyDescent="0.2">
      <c r="A718" s="1" t="s">
        <v>99</v>
      </c>
      <c r="B718" s="1" t="s">
        <v>12</v>
      </c>
      <c r="C718" s="2">
        <v>41155</v>
      </c>
      <c r="D718" s="1">
        <v>10</v>
      </c>
      <c r="E718" s="1" t="s">
        <v>34</v>
      </c>
      <c r="F718" s="1" t="s">
        <v>100</v>
      </c>
      <c r="I718" s="1" t="s">
        <v>12</v>
      </c>
      <c r="J718" s="1" t="s">
        <v>74</v>
      </c>
      <c r="K718" s="1" t="s">
        <v>14</v>
      </c>
      <c r="L718" s="1" t="s">
        <v>12</v>
      </c>
      <c r="M718" s="1" t="s">
        <v>12</v>
      </c>
      <c r="N718" s="1">
        <v>15.06</v>
      </c>
      <c r="O718" s="1" t="s">
        <v>22</v>
      </c>
      <c r="P718" s="1">
        <v>0.34</v>
      </c>
      <c r="Q718" s="1" t="s">
        <v>16</v>
      </c>
      <c r="R718" s="1" t="str">
        <f>IF(N718="","",VLOOKUP(N718,Prior_levels,2,TRUE))</f>
        <v>L</v>
      </c>
    </row>
    <row r="719" spans="1:18" x14ac:dyDescent="0.2">
      <c r="A719" s="1" t="s">
        <v>99</v>
      </c>
      <c r="B719" s="1" t="s">
        <v>12</v>
      </c>
      <c r="C719" s="2">
        <v>41155</v>
      </c>
      <c r="D719" s="1">
        <v>10</v>
      </c>
      <c r="E719" s="1" t="s">
        <v>34</v>
      </c>
      <c r="F719" s="1" t="s">
        <v>100</v>
      </c>
      <c r="I719" s="1" t="s">
        <v>12</v>
      </c>
      <c r="J719" s="1" t="s">
        <v>74</v>
      </c>
      <c r="K719" s="1" t="s">
        <v>14</v>
      </c>
      <c r="L719" s="1" t="s">
        <v>12</v>
      </c>
      <c r="M719" s="1" t="s">
        <v>12</v>
      </c>
      <c r="N719" s="1">
        <v>15.06</v>
      </c>
      <c r="O719" s="1" t="s">
        <v>23</v>
      </c>
      <c r="P719" s="1">
        <v>-0.32</v>
      </c>
      <c r="Q719" s="1" t="s">
        <v>16</v>
      </c>
      <c r="R719" s="1" t="str">
        <f>IF(N719="","",VLOOKUP(N719,Prior_levels,2,TRUE))</f>
        <v>L</v>
      </c>
    </row>
    <row r="720" spans="1:18" x14ac:dyDescent="0.2">
      <c r="A720" s="1" t="s">
        <v>99</v>
      </c>
      <c r="B720" s="1" t="s">
        <v>12</v>
      </c>
      <c r="C720" s="2">
        <v>41155</v>
      </c>
      <c r="D720" s="1">
        <v>10</v>
      </c>
      <c r="E720" s="1" t="s">
        <v>34</v>
      </c>
      <c r="F720" s="1" t="s">
        <v>100</v>
      </c>
      <c r="I720" s="1" t="s">
        <v>12</v>
      </c>
      <c r="J720" s="1" t="s">
        <v>74</v>
      </c>
      <c r="K720" s="1" t="s">
        <v>14</v>
      </c>
      <c r="L720" s="1" t="s">
        <v>12</v>
      </c>
      <c r="M720" s="1" t="s">
        <v>12</v>
      </c>
      <c r="N720" s="1">
        <v>15.06</v>
      </c>
      <c r="O720" s="1" t="s">
        <v>25</v>
      </c>
      <c r="P720" s="1">
        <v>-1.63</v>
      </c>
      <c r="Q720" s="1" t="s">
        <v>16</v>
      </c>
      <c r="R720" s="1" t="str">
        <f>IF(N720="","",VLOOKUP(N720,Prior_levels,2,TRUE))</f>
        <v>L</v>
      </c>
    </row>
    <row r="721" spans="1:18" x14ac:dyDescent="0.2">
      <c r="A721" s="1" t="s">
        <v>99</v>
      </c>
      <c r="B721" s="1" t="s">
        <v>12</v>
      </c>
      <c r="C721" s="2">
        <v>41155</v>
      </c>
      <c r="D721" s="1">
        <v>10</v>
      </c>
      <c r="E721" s="1" t="s">
        <v>34</v>
      </c>
      <c r="F721" s="1" t="s">
        <v>100</v>
      </c>
      <c r="I721" s="1" t="s">
        <v>12</v>
      </c>
      <c r="J721" s="1" t="s">
        <v>74</v>
      </c>
      <c r="K721" s="1" t="s">
        <v>14</v>
      </c>
      <c r="L721" s="1" t="s">
        <v>12</v>
      </c>
      <c r="M721" s="1" t="s">
        <v>12</v>
      </c>
      <c r="N721" s="1">
        <v>15.06</v>
      </c>
      <c r="O721" s="1" t="s">
        <v>26</v>
      </c>
      <c r="P721" s="1">
        <v>0</v>
      </c>
      <c r="Q721" s="1" t="s">
        <v>16</v>
      </c>
      <c r="R721" s="1" t="str">
        <f>IF(N721="","",VLOOKUP(N721,Prior_levels,2,TRUE))</f>
        <v>L</v>
      </c>
    </row>
    <row r="722" spans="1:18" x14ac:dyDescent="0.2">
      <c r="A722" s="1" t="s">
        <v>99</v>
      </c>
      <c r="B722" s="1" t="s">
        <v>12</v>
      </c>
      <c r="C722" s="2">
        <v>41155</v>
      </c>
      <c r="D722" s="1">
        <v>10</v>
      </c>
      <c r="E722" s="1" t="s">
        <v>34</v>
      </c>
      <c r="F722" s="1" t="s">
        <v>100</v>
      </c>
      <c r="I722" s="1" t="s">
        <v>12</v>
      </c>
      <c r="J722" s="1" t="s">
        <v>74</v>
      </c>
      <c r="K722" s="1" t="s">
        <v>14</v>
      </c>
      <c r="L722" s="1" t="s">
        <v>12</v>
      </c>
      <c r="M722" s="1" t="s">
        <v>12</v>
      </c>
      <c r="N722" s="1">
        <v>15.06</v>
      </c>
      <c r="O722" s="1" t="s">
        <v>24</v>
      </c>
      <c r="P722" s="1">
        <v>1.44</v>
      </c>
      <c r="Q722" s="1" t="s">
        <v>16</v>
      </c>
      <c r="R722" s="1" t="str">
        <f>IF(N722="","",VLOOKUP(N722,Prior_levels,2,TRUE))</f>
        <v>L</v>
      </c>
    </row>
    <row r="723" spans="1:18" x14ac:dyDescent="0.2">
      <c r="A723" s="1" t="s">
        <v>99</v>
      </c>
      <c r="B723" s="1" t="s">
        <v>12</v>
      </c>
      <c r="C723" s="2">
        <v>41155</v>
      </c>
      <c r="D723" s="1">
        <v>10</v>
      </c>
      <c r="E723" s="1" t="s">
        <v>34</v>
      </c>
      <c r="F723" s="1" t="s">
        <v>100</v>
      </c>
      <c r="I723" s="1" t="s">
        <v>12</v>
      </c>
      <c r="J723" s="1" t="s">
        <v>74</v>
      </c>
      <c r="K723" s="1" t="s">
        <v>14</v>
      </c>
      <c r="L723" s="1" t="s">
        <v>12</v>
      </c>
      <c r="M723" s="1" t="s">
        <v>12</v>
      </c>
      <c r="N723" s="1">
        <v>15.06</v>
      </c>
      <c r="O723" s="1" t="s">
        <v>27</v>
      </c>
      <c r="P723" s="1" t="s">
        <v>28</v>
      </c>
      <c r="Q723" s="1" t="s">
        <v>16</v>
      </c>
      <c r="R723" s="1" t="str">
        <f>IF(N723="","",VLOOKUP(N723,Prior_levels,2,TRUE))</f>
        <v>L</v>
      </c>
    </row>
    <row r="724" spans="1:18" x14ac:dyDescent="0.2">
      <c r="A724" s="1" t="s">
        <v>99</v>
      </c>
      <c r="B724" s="1" t="s">
        <v>12</v>
      </c>
      <c r="C724" s="2">
        <v>41155</v>
      </c>
      <c r="D724" s="1">
        <v>10</v>
      </c>
      <c r="E724" s="1" t="s">
        <v>34</v>
      </c>
      <c r="F724" s="1" t="s">
        <v>100</v>
      </c>
      <c r="I724" s="1" t="s">
        <v>12</v>
      </c>
      <c r="J724" s="1" t="s">
        <v>74</v>
      </c>
      <c r="K724" s="1" t="s">
        <v>14</v>
      </c>
      <c r="L724" s="1" t="s">
        <v>12</v>
      </c>
      <c r="M724" s="1" t="s">
        <v>12</v>
      </c>
      <c r="N724" s="1">
        <v>15.06</v>
      </c>
      <c r="O724" s="1" t="s">
        <v>29</v>
      </c>
      <c r="P724" s="1" t="s">
        <v>28</v>
      </c>
      <c r="Q724" s="1" t="s">
        <v>16</v>
      </c>
      <c r="R724" s="1" t="str">
        <f>IF(N724="","",VLOOKUP(N724,Prior_levels,2,TRUE))</f>
        <v>L</v>
      </c>
    </row>
    <row r="725" spans="1:18" x14ac:dyDescent="0.2">
      <c r="A725" s="1" t="s">
        <v>99</v>
      </c>
      <c r="B725" s="1" t="s">
        <v>12</v>
      </c>
      <c r="C725" s="2">
        <v>41155</v>
      </c>
      <c r="D725" s="1">
        <v>10</v>
      </c>
      <c r="E725" s="1" t="s">
        <v>34</v>
      </c>
      <c r="F725" s="1" t="s">
        <v>100</v>
      </c>
      <c r="I725" s="1" t="s">
        <v>12</v>
      </c>
      <c r="J725" s="1" t="s">
        <v>74</v>
      </c>
      <c r="K725" s="1" t="s">
        <v>14</v>
      </c>
      <c r="L725" s="1" t="s">
        <v>12</v>
      </c>
      <c r="M725" s="1" t="s">
        <v>12</v>
      </c>
      <c r="N725" s="1">
        <v>15.06</v>
      </c>
      <c r="O725" s="1" t="s">
        <v>30</v>
      </c>
      <c r="P725" s="1" t="s">
        <v>28</v>
      </c>
      <c r="Q725" s="1" t="s">
        <v>16</v>
      </c>
      <c r="R725" s="1" t="str">
        <f>IF(N725="","",VLOOKUP(N725,Prior_levels,2,TRUE))</f>
        <v>L</v>
      </c>
    </row>
    <row r="726" spans="1:18" x14ac:dyDescent="0.2">
      <c r="A726" s="1" t="s">
        <v>99</v>
      </c>
      <c r="B726" s="1" t="s">
        <v>12</v>
      </c>
      <c r="C726" s="2">
        <v>41155</v>
      </c>
      <c r="D726" s="1">
        <v>10</v>
      </c>
      <c r="E726" s="1" t="s">
        <v>34</v>
      </c>
      <c r="F726" s="1" t="s">
        <v>100</v>
      </c>
      <c r="I726" s="1" t="s">
        <v>12</v>
      </c>
      <c r="J726" s="1" t="s">
        <v>74</v>
      </c>
      <c r="K726" s="1" t="s">
        <v>14</v>
      </c>
      <c r="L726" s="1" t="s">
        <v>12</v>
      </c>
      <c r="M726" s="1" t="s">
        <v>12</v>
      </c>
      <c r="N726" s="1">
        <v>15.06</v>
      </c>
      <c r="O726" s="1" t="s">
        <v>31</v>
      </c>
      <c r="P726" s="1" t="s">
        <v>28</v>
      </c>
      <c r="Q726" s="1" t="s">
        <v>16</v>
      </c>
      <c r="R726" s="1" t="str">
        <f>IF(N726="","",VLOOKUP(N726,Prior_levels,2,TRUE))</f>
        <v>L</v>
      </c>
    </row>
    <row r="727" spans="1:18" x14ac:dyDescent="0.2">
      <c r="A727" s="1" t="s">
        <v>99</v>
      </c>
      <c r="B727" s="1" t="s">
        <v>12</v>
      </c>
      <c r="C727" s="2">
        <v>41155</v>
      </c>
      <c r="D727" s="1">
        <v>10</v>
      </c>
      <c r="E727" s="1" t="s">
        <v>34</v>
      </c>
      <c r="F727" s="1" t="s">
        <v>100</v>
      </c>
      <c r="I727" s="1" t="s">
        <v>12</v>
      </c>
      <c r="J727" s="1" t="s">
        <v>74</v>
      </c>
      <c r="K727" s="1" t="s">
        <v>14</v>
      </c>
      <c r="L727" s="1" t="s">
        <v>12</v>
      </c>
      <c r="M727" s="1" t="s">
        <v>12</v>
      </c>
      <c r="N727" s="1">
        <v>15.06</v>
      </c>
      <c r="O727" s="1" t="s">
        <v>32</v>
      </c>
      <c r="P727" s="1" t="s">
        <v>28</v>
      </c>
      <c r="Q727" s="1" t="s">
        <v>16</v>
      </c>
      <c r="R727" s="1" t="str">
        <f>IF(N727="","",VLOOKUP(N727,Prior_levels,2,TRUE))</f>
        <v>L</v>
      </c>
    </row>
    <row r="728" spans="1:18" x14ac:dyDescent="0.2">
      <c r="A728" s="1" t="s">
        <v>101</v>
      </c>
      <c r="B728" s="1" t="s">
        <v>12</v>
      </c>
      <c r="C728" s="2">
        <v>41155</v>
      </c>
      <c r="D728" s="1">
        <v>10</v>
      </c>
      <c r="E728" s="1" t="s">
        <v>39</v>
      </c>
      <c r="I728" s="1" t="s">
        <v>12</v>
      </c>
      <c r="J728" s="1" t="s">
        <v>36</v>
      </c>
      <c r="K728" s="1" t="s">
        <v>14</v>
      </c>
      <c r="L728" s="1" t="s">
        <v>12</v>
      </c>
      <c r="M728" s="1" t="s">
        <v>12</v>
      </c>
      <c r="N728" s="1">
        <v>21.12</v>
      </c>
      <c r="O728" s="1" t="s">
        <v>15</v>
      </c>
      <c r="P728" s="1">
        <v>2.5</v>
      </c>
      <c r="Q728" s="1" t="s">
        <v>16</v>
      </c>
      <c r="R728" s="1" t="str">
        <f>IF(N728="","",VLOOKUP(N728,Prior_levels,2,TRUE))</f>
        <v>L</v>
      </c>
    </row>
    <row r="729" spans="1:18" x14ac:dyDescent="0.2">
      <c r="A729" s="1" t="s">
        <v>101</v>
      </c>
      <c r="B729" s="1" t="s">
        <v>12</v>
      </c>
      <c r="C729" s="2">
        <v>41155</v>
      </c>
      <c r="D729" s="1">
        <v>10</v>
      </c>
      <c r="E729" s="1" t="s">
        <v>39</v>
      </c>
      <c r="I729" s="1" t="s">
        <v>12</v>
      </c>
      <c r="J729" s="1" t="s">
        <v>36</v>
      </c>
      <c r="K729" s="1" t="s">
        <v>14</v>
      </c>
      <c r="L729" s="1" t="s">
        <v>12</v>
      </c>
      <c r="M729" s="1" t="s">
        <v>12</v>
      </c>
      <c r="N729" s="1">
        <v>21.12</v>
      </c>
      <c r="O729" s="1" t="s">
        <v>17</v>
      </c>
      <c r="P729" s="1">
        <v>-0.33</v>
      </c>
      <c r="Q729" s="1" t="s">
        <v>16</v>
      </c>
      <c r="R729" s="1" t="str">
        <f>IF(N729="","",VLOOKUP(N729,Prior_levels,2,TRUE))</f>
        <v>L</v>
      </c>
    </row>
    <row r="730" spans="1:18" x14ac:dyDescent="0.2">
      <c r="A730" s="1" t="s">
        <v>101</v>
      </c>
      <c r="B730" s="1" t="s">
        <v>12</v>
      </c>
      <c r="C730" s="2">
        <v>41155</v>
      </c>
      <c r="D730" s="1">
        <v>10</v>
      </c>
      <c r="E730" s="1" t="s">
        <v>39</v>
      </c>
      <c r="I730" s="1" t="s">
        <v>12</v>
      </c>
      <c r="J730" s="1" t="s">
        <v>36</v>
      </c>
      <c r="K730" s="1" t="s">
        <v>14</v>
      </c>
      <c r="L730" s="1" t="s">
        <v>12</v>
      </c>
      <c r="M730" s="1" t="s">
        <v>12</v>
      </c>
      <c r="N730" s="1">
        <v>21.12</v>
      </c>
      <c r="O730" s="1" t="s">
        <v>18</v>
      </c>
      <c r="P730" s="1">
        <v>6</v>
      </c>
      <c r="Q730" s="1" t="s">
        <v>16</v>
      </c>
      <c r="R730" s="1" t="str">
        <f>IF(N730="","",VLOOKUP(N730,Prior_levels,2,TRUE))</f>
        <v>L</v>
      </c>
    </row>
    <row r="731" spans="1:18" x14ac:dyDescent="0.2">
      <c r="A731" s="1" t="s">
        <v>101</v>
      </c>
      <c r="B731" s="1" t="s">
        <v>12</v>
      </c>
      <c r="C731" s="2">
        <v>41155</v>
      </c>
      <c r="D731" s="1">
        <v>10</v>
      </c>
      <c r="E731" s="1" t="s">
        <v>39</v>
      </c>
      <c r="I731" s="1" t="s">
        <v>12</v>
      </c>
      <c r="J731" s="1" t="s">
        <v>36</v>
      </c>
      <c r="K731" s="1" t="s">
        <v>14</v>
      </c>
      <c r="L731" s="1" t="s">
        <v>12</v>
      </c>
      <c r="M731" s="1" t="s">
        <v>12</v>
      </c>
      <c r="N731" s="1">
        <v>21.12</v>
      </c>
      <c r="O731" s="1" t="s">
        <v>19</v>
      </c>
      <c r="P731" s="1">
        <v>6</v>
      </c>
      <c r="Q731" s="1" t="s">
        <v>16</v>
      </c>
      <c r="R731" s="1" t="str">
        <f>IF(N731="","",VLOOKUP(N731,Prior_levels,2,TRUE))</f>
        <v>L</v>
      </c>
    </row>
    <row r="732" spans="1:18" x14ac:dyDescent="0.2">
      <c r="A732" s="1" t="s">
        <v>101</v>
      </c>
      <c r="B732" s="1" t="s">
        <v>12</v>
      </c>
      <c r="C732" s="2">
        <v>41155</v>
      </c>
      <c r="D732" s="1">
        <v>10</v>
      </c>
      <c r="E732" s="1" t="s">
        <v>39</v>
      </c>
      <c r="I732" s="1" t="s">
        <v>12</v>
      </c>
      <c r="J732" s="1" t="s">
        <v>36</v>
      </c>
      <c r="K732" s="1" t="s">
        <v>14</v>
      </c>
      <c r="L732" s="1" t="s">
        <v>12</v>
      </c>
      <c r="M732" s="1" t="s">
        <v>12</v>
      </c>
      <c r="N732" s="1">
        <v>21.12</v>
      </c>
      <c r="O732" s="1" t="s">
        <v>20</v>
      </c>
      <c r="P732" s="1">
        <v>6</v>
      </c>
      <c r="Q732" s="1" t="s">
        <v>16</v>
      </c>
      <c r="R732" s="1" t="str">
        <f>IF(N732="","",VLOOKUP(N732,Prior_levels,2,TRUE))</f>
        <v>L</v>
      </c>
    </row>
    <row r="733" spans="1:18" x14ac:dyDescent="0.2">
      <c r="A733" s="1" t="s">
        <v>101</v>
      </c>
      <c r="B733" s="1" t="s">
        <v>12</v>
      </c>
      <c r="C733" s="2">
        <v>41155</v>
      </c>
      <c r="D733" s="1">
        <v>10</v>
      </c>
      <c r="E733" s="1" t="s">
        <v>39</v>
      </c>
      <c r="I733" s="1" t="s">
        <v>12</v>
      </c>
      <c r="J733" s="1" t="s">
        <v>36</v>
      </c>
      <c r="K733" s="1" t="s">
        <v>14</v>
      </c>
      <c r="L733" s="1" t="s">
        <v>12</v>
      </c>
      <c r="M733" s="1" t="s">
        <v>12</v>
      </c>
      <c r="N733" s="1">
        <v>21.12</v>
      </c>
      <c r="O733" s="1" t="s">
        <v>21</v>
      </c>
      <c r="P733" s="1">
        <v>7</v>
      </c>
      <c r="Q733" s="1" t="s">
        <v>16</v>
      </c>
      <c r="R733" s="1" t="str">
        <f>IF(N733="","",VLOOKUP(N733,Prior_levels,2,TRUE))</f>
        <v>L</v>
      </c>
    </row>
    <row r="734" spans="1:18" x14ac:dyDescent="0.2">
      <c r="A734" s="1" t="s">
        <v>101</v>
      </c>
      <c r="B734" s="1" t="s">
        <v>12</v>
      </c>
      <c r="C734" s="2">
        <v>41155</v>
      </c>
      <c r="D734" s="1">
        <v>10</v>
      </c>
      <c r="E734" s="1" t="s">
        <v>39</v>
      </c>
      <c r="I734" s="1" t="s">
        <v>12</v>
      </c>
      <c r="J734" s="1" t="s">
        <v>36</v>
      </c>
      <c r="K734" s="1" t="s">
        <v>14</v>
      </c>
      <c r="L734" s="1" t="s">
        <v>12</v>
      </c>
      <c r="M734" s="1" t="s">
        <v>12</v>
      </c>
      <c r="N734" s="1">
        <v>21.12</v>
      </c>
      <c r="O734" s="1" t="s">
        <v>22</v>
      </c>
      <c r="P734" s="1">
        <v>-0.66</v>
      </c>
      <c r="Q734" s="1" t="s">
        <v>16</v>
      </c>
      <c r="R734" s="1" t="str">
        <f>IF(N734="","",VLOOKUP(N734,Prior_levels,2,TRUE))</f>
        <v>L</v>
      </c>
    </row>
    <row r="735" spans="1:18" x14ac:dyDescent="0.2">
      <c r="A735" s="1" t="s">
        <v>101</v>
      </c>
      <c r="B735" s="1" t="s">
        <v>12</v>
      </c>
      <c r="C735" s="2">
        <v>41155</v>
      </c>
      <c r="D735" s="1">
        <v>10</v>
      </c>
      <c r="E735" s="1" t="s">
        <v>39</v>
      </c>
      <c r="I735" s="1" t="s">
        <v>12</v>
      </c>
      <c r="J735" s="1" t="s">
        <v>36</v>
      </c>
      <c r="K735" s="1" t="s">
        <v>14</v>
      </c>
      <c r="L735" s="1" t="s">
        <v>12</v>
      </c>
      <c r="M735" s="1" t="s">
        <v>12</v>
      </c>
      <c r="N735" s="1">
        <v>21.12</v>
      </c>
      <c r="O735" s="1" t="s">
        <v>23</v>
      </c>
      <c r="P735" s="1">
        <v>0.39</v>
      </c>
      <c r="Q735" s="1" t="s">
        <v>16</v>
      </c>
      <c r="R735" s="1" t="str">
        <f>IF(N735="","",VLOOKUP(N735,Prior_levels,2,TRUE))</f>
        <v>L</v>
      </c>
    </row>
    <row r="736" spans="1:18" x14ac:dyDescent="0.2">
      <c r="A736" s="1" t="s">
        <v>101</v>
      </c>
      <c r="B736" s="1" t="s">
        <v>12</v>
      </c>
      <c r="C736" s="2">
        <v>41155</v>
      </c>
      <c r="D736" s="1">
        <v>10</v>
      </c>
      <c r="E736" s="1" t="s">
        <v>39</v>
      </c>
      <c r="I736" s="1" t="s">
        <v>12</v>
      </c>
      <c r="J736" s="1" t="s">
        <v>36</v>
      </c>
      <c r="K736" s="1" t="s">
        <v>14</v>
      </c>
      <c r="L736" s="1" t="s">
        <v>12</v>
      </c>
      <c r="M736" s="1" t="s">
        <v>12</v>
      </c>
      <c r="N736" s="1">
        <v>21.12</v>
      </c>
      <c r="O736" s="1" t="s">
        <v>24</v>
      </c>
      <c r="P736" s="1">
        <v>1.49</v>
      </c>
      <c r="Q736" s="1" t="s">
        <v>16</v>
      </c>
      <c r="R736" s="1" t="str">
        <f>IF(N736="","",VLOOKUP(N736,Prior_levels,2,TRUE))</f>
        <v>L</v>
      </c>
    </row>
    <row r="737" spans="1:18" x14ac:dyDescent="0.2">
      <c r="A737" s="1" t="s">
        <v>101</v>
      </c>
      <c r="B737" s="1" t="s">
        <v>12</v>
      </c>
      <c r="C737" s="2">
        <v>41155</v>
      </c>
      <c r="D737" s="1">
        <v>10</v>
      </c>
      <c r="E737" s="1" t="s">
        <v>39</v>
      </c>
      <c r="I737" s="1" t="s">
        <v>12</v>
      </c>
      <c r="J737" s="1" t="s">
        <v>36</v>
      </c>
      <c r="K737" s="1" t="s">
        <v>14</v>
      </c>
      <c r="L737" s="1" t="s">
        <v>12</v>
      </c>
      <c r="M737" s="1" t="s">
        <v>12</v>
      </c>
      <c r="N737" s="1">
        <v>21.12</v>
      </c>
      <c r="O737" s="1" t="s">
        <v>25</v>
      </c>
      <c r="P737" s="1">
        <v>-4.2</v>
      </c>
      <c r="Q737" s="1" t="s">
        <v>16</v>
      </c>
      <c r="R737" s="1" t="str">
        <f>IF(N737="","",VLOOKUP(N737,Prior_levels,2,TRUE))</f>
        <v>L</v>
      </c>
    </row>
    <row r="738" spans="1:18" x14ac:dyDescent="0.2">
      <c r="A738" s="1" t="s">
        <v>101</v>
      </c>
      <c r="B738" s="1" t="s">
        <v>12</v>
      </c>
      <c r="C738" s="2">
        <v>41155</v>
      </c>
      <c r="D738" s="1">
        <v>10</v>
      </c>
      <c r="E738" s="1" t="s">
        <v>39</v>
      </c>
      <c r="I738" s="1" t="s">
        <v>12</v>
      </c>
      <c r="J738" s="1" t="s">
        <v>36</v>
      </c>
      <c r="K738" s="1" t="s">
        <v>14</v>
      </c>
      <c r="L738" s="1" t="s">
        <v>12</v>
      </c>
      <c r="M738" s="1" t="s">
        <v>12</v>
      </c>
      <c r="N738" s="1">
        <v>21.12</v>
      </c>
      <c r="O738" s="1" t="s">
        <v>26</v>
      </c>
      <c r="P738" s="1">
        <v>0</v>
      </c>
      <c r="Q738" s="1" t="s">
        <v>16</v>
      </c>
      <c r="R738" s="1" t="str">
        <f>IF(N738="","",VLOOKUP(N738,Prior_levels,2,TRUE))</f>
        <v>L</v>
      </c>
    </row>
    <row r="739" spans="1:18" x14ac:dyDescent="0.2">
      <c r="A739" s="1" t="s">
        <v>101</v>
      </c>
      <c r="B739" s="1" t="s">
        <v>12</v>
      </c>
      <c r="C739" s="2">
        <v>41155</v>
      </c>
      <c r="D739" s="1">
        <v>10</v>
      </c>
      <c r="E739" s="1" t="s">
        <v>39</v>
      </c>
      <c r="I739" s="1" t="s">
        <v>12</v>
      </c>
      <c r="J739" s="1" t="s">
        <v>36</v>
      </c>
      <c r="K739" s="1" t="s">
        <v>14</v>
      </c>
      <c r="L739" s="1" t="s">
        <v>12</v>
      </c>
      <c r="M739" s="1" t="s">
        <v>12</v>
      </c>
      <c r="N739" s="1">
        <v>21.12</v>
      </c>
      <c r="O739" s="1" t="s">
        <v>27</v>
      </c>
      <c r="P739" s="1" t="s">
        <v>28</v>
      </c>
      <c r="Q739" s="1" t="s">
        <v>16</v>
      </c>
      <c r="R739" s="1" t="str">
        <f>IF(N739="","",VLOOKUP(N739,Prior_levels,2,TRUE))</f>
        <v>L</v>
      </c>
    </row>
    <row r="740" spans="1:18" x14ac:dyDescent="0.2">
      <c r="A740" s="1" t="s">
        <v>101</v>
      </c>
      <c r="B740" s="1" t="s">
        <v>12</v>
      </c>
      <c r="C740" s="2">
        <v>41155</v>
      </c>
      <c r="D740" s="1">
        <v>10</v>
      </c>
      <c r="E740" s="1" t="s">
        <v>39</v>
      </c>
      <c r="I740" s="1" t="s">
        <v>12</v>
      </c>
      <c r="J740" s="1" t="s">
        <v>36</v>
      </c>
      <c r="K740" s="1" t="s">
        <v>14</v>
      </c>
      <c r="L740" s="1" t="s">
        <v>12</v>
      </c>
      <c r="M740" s="1" t="s">
        <v>12</v>
      </c>
      <c r="N740" s="1">
        <v>21.12</v>
      </c>
      <c r="O740" s="1" t="s">
        <v>29</v>
      </c>
      <c r="P740" s="1" t="s">
        <v>28</v>
      </c>
      <c r="Q740" s="1" t="s">
        <v>16</v>
      </c>
      <c r="R740" s="1" t="str">
        <f>IF(N740="","",VLOOKUP(N740,Prior_levels,2,TRUE))</f>
        <v>L</v>
      </c>
    </row>
    <row r="741" spans="1:18" x14ac:dyDescent="0.2">
      <c r="A741" s="1" t="s">
        <v>101</v>
      </c>
      <c r="B741" s="1" t="s">
        <v>12</v>
      </c>
      <c r="C741" s="2">
        <v>41155</v>
      </c>
      <c r="D741" s="1">
        <v>10</v>
      </c>
      <c r="E741" s="1" t="s">
        <v>39</v>
      </c>
      <c r="I741" s="1" t="s">
        <v>12</v>
      </c>
      <c r="J741" s="1" t="s">
        <v>36</v>
      </c>
      <c r="K741" s="1" t="s">
        <v>14</v>
      </c>
      <c r="L741" s="1" t="s">
        <v>12</v>
      </c>
      <c r="M741" s="1" t="s">
        <v>12</v>
      </c>
      <c r="N741" s="1">
        <v>21.12</v>
      </c>
      <c r="O741" s="1" t="s">
        <v>30</v>
      </c>
      <c r="P741" s="1" t="s">
        <v>28</v>
      </c>
      <c r="Q741" s="1" t="s">
        <v>16</v>
      </c>
      <c r="R741" s="1" t="str">
        <f>IF(N741="","",VLOOKUP(N741,Prior_levels,2,TRUE))</f>
        <v>L</v>
      </c>
    </row>
    <row r="742" spans="1:18" x14ac:dyDescent="0.2">
      <c r="A742" s="1" t="s">
        <v>101</v>
      </c>
      <c r="B742" s="1" t="s">
        <v>12</v>
      </c>
      <c r="C742" s="2">
        <v>41155</v>
      </c>
      <c r="D742" s="1">
        <v>10</v>
      </c>
      <c r="E742" s="1" t="s">
        <v>39</v>
      </c>
      <c r="I742" s="1" t="s">
        <v>12</v>
      </c>
      <c r="J742" s="1" t="s">
        <v>36</v>
      </c>
      <c r="K742" s="1" t="s">
        <v>14</v>
      </c>
      <c r="L742" s="1" t="s">
        <v>12</v>
      </c>
      <c r="M742" s="1" t="s">
        <v>12</v>
      </c>
      <c r="N742" s="1">
        <v>21.12</v>
      </c>
      <c r="O742" s="1" t="s">
        <v>31</v>
      </c>
      <c r="P742" s="1" t="s">
        <v>28</v>
      </c>
      <c r="Q742" s="1" t="s">
        <v>16</v>
      </c>
      <c r="R742" s="1" t="str">
        <f>IF(N742="","",VLOOKUP(N742,Prior_levels,2,TRUE))</f>
        <v>L</v>
      </c>
    </row>
    <row r="743" spans="1:18" x14ac:dyDescent="0.2">
      <c r="A743" s="1" t="s">
        <v>101</v>
      </c>
      <c r="B743" s="1" t="s">
        <v>12</v>
      </c>
      <c r="C743" s="2">
        <v>41155</v>
      </c>
      <c r="D743" s="1">
        <v>10</v>
      </c>
      <c r="E743" s="1" t="s">
        <v>39</v>
      </c>
      <c r="I743" s="1" t="s">
        <v>12</v>
      </c>
      <c r="J743" s="1" t="s">
        <v>36</v>
      </c>
      <c r="K743" s="1" t="s">
        <v>14</v>
      </c>
      <c r="L743" s="1" t="s">
        <v>12</v>
      </c>
      <c r="M743" s="1" t="s">
        <v>12</v>
      </c>
      <c r="N743" s="1">
        <v>21.12</v>
      </c>
      <c r="O743" s="1" t="s">
        <v>32</v>
      </c>
      <c r="P743" s="1" t="s">
        <v>28</v>
      </c>
      <c r="Q743" s="1" t="s">
        <v>16</v>
      </c>
      <c r="R743" s="1" t="str">
        <f>IF(N743="","",VLOOKUP(N743,Prior_levels,2,TRUE))</f>
        <v>L</v>
      </c>
    </row>
    <row r="744" spans="1:18" x14ac:dyDescent="0.2">
      <c r="A744" s="1" t="s">
        <v>102</v>
      </c>
      <c r="B744" s="1" t="s">
        <v>12</v>
      </c>
      <c r="C744" s="2">
        <v>41155</v>
      </c>
      <c r="D744" s="1">
        <v>10</v>
      </c>
      <c r="E744" s="1" t="s">
        <v>52</v>
      </c>
      <c r="I744" s="1" t="s">
        <v>12</v>
      </c>
      <c r="J744" s="1" t="s">
        <v>40</v>
      </c>
      <c r="K744" s="1" t="s">
        <v>14</v>
      </c>
      <c r="L744" s="1" t="s">
        <v>12</v>
      </c>
      <c r="M744" s="1" t="s">
        <v>12</v>
      </c>
      <c r="N744" s="1">
        <v>21.12</v>
      </c>
      <c r="O744" s="1" t="s">
        <v>15</v>
      </c>
      <c r="P744" s="1">
        <v>3.2</v>
      </c>
      <c r="Q744" s="1" t="s">
        <v>16</v>
      </c>
      <c r="R744" s="1" t="str">
        <f>IF(N744="","",VLOOKUP(N744,Prior_levels,2,TRUE))</f>
        <v>L</v>
      </c>
    </row>
    <row r="745" spans="1:18" x14ac:dyDescent="0.2">
      <c r="A745" s="1" t="s">
        <v>102</v>
      </c>
      <c r="B745" s="1" t="s">
        <v>12</v>
      </c>
      <c r="C745" s="2">
        <v>41155</v>
      </c>
      <c r="D745" s="1">
        <v>10</v>
      </c>
      <c r="E745" s="1" t="s">
        <v>52</v>
      </c>
      <c r="I745" s="1" t="s">
        <v>12</v>
      </c>
      <c r="J745" s="1" t="s">
        <v>40</v>
      </c>
      <c r="K745" s="1" t="s">
        <v>14</v>
      </c>
      <c r="L745" s="1" t="s">
        <v>12</v>
      </c>
      <c r="M745" s="1" t="s">
        <v>12</v>
      </c>
      <c r="N745" s="1">
        <v>21.12</v>
      </c>
      <c r="O745" s="1" t="s">
        <v>17</v>
      </c>
      <c r="P745" s="1">
        <v>0.37</v>
      </c>
      <c r="Q745" s="1" t="s">
        <v>16</v>
      </c>
      <c r="R745" s="1" t="str">
        <f>IF(N745="","",VLOOKUP(N745,Prior_levels,2,TRUE))</f>
        <v>L</v>
      </c>
    </row>
    <row r="746" spans="1:18" x14ac:dyDescent="0.2">
      <c r="A746" s="1" t="s">
        <v>102</v>
      </c>
      <c r="B746" s="1" t="s">
        <v>12</v>
      </c>
      <c r="C746" s="2">
        <v>41155</v>
      </c>
      <c r="D746" s="1">
        <v>10</v>
      </c>
      <c r="E746" s="1" t="s">
        <v>52</v>
      </c>
      <c r="I746" s="1" t="s">
        <v>12</v>
      </c>
      <c r="J746" s="1" t="s">
        <v>40</v>
      </c>
      <c r="K746" s="1" t="s">
        <v>14</v>
      </c>
      <c r="L746" s="1" t="s">
        <v>12</v>
      </c>
      <c r="M746" s="1" t="s">
        <v>12</v>
      </c>
      <c r="N746" s="1">
        <v>21.12</v>
      </c>
      <c r="O746" s="1" t="s">
        <v>18</v>
      </c>
      <c r="P746" s="1">
        <v>8</v>
      </c>
      <c r="Q746" s="1" t="s">
        <v>16</v>
      </c>
      <c r="R746" s="1" t="str">
        <f>IF(N746="","",VLOOKUP(N746,Prior_levels,2,TRUE))</f>
        <v>L</v>
      </c>
    </row>
    <row r="747" spans="1:18" x14ac:dyDescent="0.2">
      <c r="A747" s="1" t="s">
        <v>102</v>
      </c>
      <c r="B747" s="1" t="s">
        <v>12</v>
      </c>
      <c r="C747" s="2">
        <v>41155</v>
      </c>
      <c r="D747" s="1">
        <v>10</v>
      </c>
      <c r="E747" s="1" t="s">
        <v>52</v>
      </c>
      <c r="I747" s="1" t="s">
        <v>12</v>
      </c>
      <c r="J747" s="1" t="s">
        <v>40</v>
      </c>
      <c r="K747" s="1" t="s">
        <v>14</v>
      </c>
      <c r="L747" s="1" t="s">
        <v>12</v>
      </c>
      <c r="M747" s="1" t="s">
        <v>12</v>
      </c>
      <c r="N747" s="1">
        <v>21.12</v>
      </c>
      <c r="O747" s="1" t="s">
        <v>19</v>
      </c>
      <c r="P747" s="1">
        <v>6</v>
      </c>
      <c r="Q747" s="1" t="s">
        <v>16</v>
      </c>
      <c r="R747" s="1" t="str">
        <f>IF(N747="","",VLOOKUP(N747,Prior_levels,2,TRUE))</f>
        <v>L</v>
      </c>
    </row>
    <row r="748" spans="1:18" x14ac:dyDescent="0.2">
      <c r="A748" s="1" t="s">
        <v>102</v>
      </c>
      <c r="B748" s="1" t="s">
        <v>12</v>
      </c>
      <c r="C748" s="2">
        <v>41155</v>
      </c>
      <c r="D748" s="1">
        <v>10</v>
      </c>
      <c r="E748" s="1" t="s">
        <v>52</v>
      </c>
      <c r="I748" s="1" t="s">
        <v>12</v>
      </c>
      <c r="J748" s="1" t="s">
        <v>40</v>
      </c>
      <c r="K748" s="1" t="s">
        <v>14</v>
      </c>
      <c r="L748" s="1" t="s">
        <v>12</v>
      </c>
      <c r="M748" s="1" t="s">
        <v>12</v>
      </c>
      <c r="N748" s="1">
        <v>21.12</v>
      </c>
      <c r="O748" s="1" t="s">
        <v>20</v>
      </c>
      <c r="P748" s="1">
        <v>8</v>
      </c>
      <c r="Q748" s="1" t="s">
        <v>16</v>
      </c>
      <c r="R748" s="1" t="str">
        <f>IF(N748="","",VLOOKUP(N748,Prior_levels,2,TRUE))</f>
        <v>L</v>
      </c>
    </row>
    <row r="749" spans="1:18" x14ac:dyDescent="0.2">
      <c r="A749" s="1" t="s">
        <v>102</v>
      </c>
      <c r="B749" s="1" t="s">
        <v>12</v>
      </c>
      <c r="C749" s="2">
        <v>41155</v>
      </c>
      <c r="D749" s="1">
        <v>10</v>
      </c>
      <c r="E749" s="1" t="s">
        <v>52</v>
      </c>
      <c r="I749" s="1" t="s">
        <v>12</v>
      </c>
      <c r="J749" s="1" t="s">
        <v>40</v>
      </c>
      <c r="K749" s="1" t="s">
        <v>14</v>
      </c>
      <c r="L749" s="1" t="s">
        <v>12</v>
      </c>
      <c r="M749" s="1" t="s">
        <v>12</v>
      </c>
      <c r="N749" s="1">
        <v>21.12</v>
      </c>
      <c r="O749" s="1" t="s">
        <v>21</v>
      </c>
      <c r="P749" s="1">
        <v>10</v>
      </c>
      <c r="Q749" s="1" t="s">
        <v>16</v>
      </c>
      <c r="R749" s="1" t="str">
        <f>IF(N749="","",VLOOKUP(N749,Prior_levels,2,TRUE))</f>
        <v>L</v>
      </c>
    </row>
    <row r="750" spans="1:18" x14ac:dyDescent="0.2">
      <c r="A750" s="1" t="s">
        <v>102</v>
      </c>
      <c r="B750" s="1" t="s">
        <v>12</v>
      </c>
      <c r="C750" s="2">
        <v>41155</v>
      </c>
      <c r="D750" s="1">
        <v>10</v>
      </c>
      <c r="E750" s="1" t="s">
        <v>52</v>
      </c>
      <c r="I750" s="1" t="s">
        <v>12</v>
      </c>
      <c r="J750" s="1" t="s">
        <v>40</v>
      </c>
      <c r="K750" s="1" t="s">
        <v>14</v>
      </c>
      <c r="L750" s="1" t="s">
        <v>12</v>
      </c>
      <c r="M750" s="1" t="s">
        <v>12</v>
      </c>
      <c r="N750" s="1">
        <v>21.12</v>
      </c>
      <c r="O750" s="1" t="s">
        <v>22</v>
      </c>
      <c r="P750" s="1">
        <v>0.34</v>
      </c>
      <c r="Q750" s="1" t="s">
        <v>16</v>
      </c>
      <c r="R750" s="1" t="str">
        <f>IF(N750="","",VLOOKUP(N750,Prior_levels,2,TRUE))</f>
        <v>L</v>
      </c>
    </row>
    <row r="751" spans="1:18" x14ac:dyDescent="0.2">
      <c r="A751" s="1" t="s">
        <v>102</v>
      </c>
      <c r="B751" s="1" t="s">
        <v>12</v>
      </c>
      <c r="C751" s="2">
        <v>41155</v>
      </c>
      <c r="D751" s="1">
        <v>10</v>
      </c>
      <c r="E751" s="1" t="s">
        <v>52</v>
      </c>
      <c r="I751" s="1" t="s">
        <v>12</v>
      </c>
      <c r="J751" s="1" t="s">
        <v>40</v>
      </c>
      <c r="K751" s="1" t="s">
        <v>14</v>
      </c>
      <c r="L751" s="1" t="s">
        <v>12</v>
      </c>
      <c r="M751" s="1" t="s">
        <v>12</v>
      </c>
      <c r="N751" s="1">
        <v>21.12</v>
      </c>
      <c r="O751" s="1" t="s">
        <v>23</v>
      </c>
      <c r="P751" s="1">
        <v>0.39</v>
      </c>
      <c r="Q751" s="1" t="s">
        <v>16</v>
      </c>
      <c r="R751" s="1" t="str">
        <f>IF(N751="","",VLOOKUP(N751,Prior_levels,2,TRUE))</f>
        <v>L</v>
      </c>
    </row>
    <row r="752" spans="1:18" x14ac:dyDescent="0.2">
      <c r="A752" s="1" t="s">
        <v>102</v>
      </c>
      <c r="B752" s="1" t="s">
        <v>12</v>
      </c>
      <c r="C752" s="2">
        <v>41155</v>
      </c>
      <c r="D752" s="1">
        <v>10</v>
      </c>
      <c r="E752" s="1" t="s">
        <v>52</v>
      </c>
      <c r="I752" s="1" t="s">
        <v>12</v>
      </c>
      <c r="J752" s="1" t="s">
        <v>40</v>
      </c>
      <c r="K752" s="1" t="s">
        <v>14</v>
      </c>
      <c r="L752" s="1" t="s">
        <v>12</v>
      </c>
      <c r="M752" s="1" t="s">
        <v>12</v>
      </c>
      <c r="N752" s="1">
        <v>21.12</v>
      </c>
      <c r="O752" s="1" t="s">
        <v>24</v>
      </c>
      <c r="P752" s="1">
        <v>3.49</v>
      </c>
      <c r="Q752" s="1" t="s">
        <v>16</v>
      </c>
      <c r="R752" s="1" t="str">
        <f>IF(N752="","",VLOOKUP(N752,Prior_levels,2,TRUE))</f>
        <v>L</v>
      </c>
    </row>
    <row r="753" spans="1:18" x14ac:dyDescent="0.2">
      <c r="A753" s="1" t="s">
        <v>102</v>
      </c>
      <c r="B753" s="1" t="s">
        <v>12</v>
      </c>
      <c r="C753" s="2">
        <v>41155</v>
      </c>
      <c r="D753" s="1">
        <v>10</v>
      </c>
      <c r="E753" s="1" t="s">
        <v>52</v>
      </c>
      <c r="I753" s="1" t="s">
        <v>12</v>
      </c>
      <c r="J753" s="1" t="s">
        <v>40</v>
      </c>
      <c r="K753" s="1" t="s">
        <v>14</v>
      </c>
      <c r="L753" s="1" t="s">
        <v>12</v>
      </c>
      <c r="M753" s="1" t="s">
        <v>12</v>
      </c>
      <c r="N753" s="1">
        <v>21.12</v>
      </c>
      <c r="O753" s="1" t="s">
        <v>25</v>
      </c>
      <c r="P753" s="1">
        <v>-1.2</v>
      </c>
      <c r="Q753" s="1" t="s">
        <v>16</v>
      </c>
      <c r="R753" s="1" t="str">
        <f>IF(N753="","",VLOOKUP(N753,Prior_levels,2,TRUE))</f>
        <v>L</v>
      </c>
    </row>
    <row r="754" spans="1:18" x14ac:dyDescent="0.2">
      <c r="A754" s="1" t="s">
        <v>102</v>
      </c>
      <c r="B754" s="1" t="s">
        <v>12</v>
      </c>
      <c r="C754" s="2">
        <v>41155</v>
      </c>
      <c r="D754" s="1">
        <v>10</v>
      </c>
      <c r="E754" s="1" t="s">
        <v>52</v>
      </c>
      <c r="I754" s="1" t="s">
        <v>12</v>
      </c>
      <c r="J754" s="1" t="s">
        <v>40</v>
      </c>
      <c r="K754" s="1" t="s">
        <v>14</v>
      </c>
      <c r="L754" s="1" t="s">
        <v>12</v>
      </c>
      <c r="M754" s="1" t="s">
        <v>12</v>
      </c>
      <c r="N754" s="1">
        <v>21.12</v>
      </c>
      <c r="O754" s="1" t="s">
        <v>26</v>
      </c>
      <c r="P754" s="1">
        <v>0</v>
      </c>
      <c r="Q754" s="1" t="s">
        <v>16</v>
      </c>
      <c r="R754" s="1" t="str">
        <f>IF(N754="","",VLOOKUP(N754,Prior_levels,2,TRUE))</f>
        <v>L</v>
      </c>
    </row>
    <row r="755" spans="1:18" x14ac:dyDescent="0.2">
      <c r="A755" s="1" t="s">
        <v>102</v>
      </c>
      <c r="B755" s="1" t="s">
        <v>12</v>
      </c>
      <c r="C755" s="2">
        <v>41155</v>
      </c>
      <c r="D755" s="1">
        <v>10</v>
      </c>
      <c r="E755" s="1" t="s">
        <v>52</v>
      </c>
      <c r="I755" s="1" t="s">
        <v>12</v>
      </c>
      <c r="J755" s="1" t="s">
        <v>40</v>
      </c>
      <c r="K755" s="1" t="s">
        <v>14</v>
      </c>
      <c r="L755" s="1" t="s">
        <v>12</v>
      </c>
      <c r="M755" s="1" t="s">
        <v>12</v>
      </c>
      <c r="N755" s="1">
        <v>21.12</v>
      </c>
      <c r="O755" s="1" t="s">
        <v>27</v>
      </c>
      <c r="P755" s="1" t="s">
        <v>28</v>
      </c>
      <c r="Q755" s="1" t="s">
        <v>16</v>
      </c>
      <c r="R755" s="1" t="str">
        <f>IF(N755="","",VLOOKUP(N755,Prior_levels,2,TRUE))</f>
        <v>L</v>
      </c>
    </row>
    <row r="756" spans="1:18" x14ac:dyDescent="0.2">
      <c r="A756" s="1" t="s">
        <v>102</v>
      </c>
      <c r="B756" s="1" t="s">
        <v>12</v>
      </c>
      <c r="C756" s="2">
        <v>41155</v>
      </c>
      <c r="D756" s="1">
        <v>10</v>
      </c>
      <c r="E756" s="1" t="s">
        <v>52</v>
      </c>
      <c r="I756" s="1" t="s">
        <v>12</v>
      </c>
      <c r="J756" s="1" t="s">
        <v>40</v>
      </c>
      <c r="K756" s="1" t="s">
        <v>14</v>
      </c>
      <c r="L756" s="1" t="s">
        <v>12</v>
      </c>
      <c r="M756" s="1" t="s">
        <v>12</v>
      </c>
      <c r="N756" s="1">
        <v>21.12</v>
      </c>
      <c r="O756" s="1" t="s">
        <v>29</v>
      </c>
      <c r="P756" s="1" t="s">
        <v>28</v>
      </c>
      <c r="Q756" s="1" t="s">
        <v>16</v>
      </c>
      <c r="R756" s="1" t="str">
        <f>IF(N756="","",VLOOKUP(N756,Prior_levels,2,TRUE))</f>
        <v>L</v>
      </c>
    </row>
    <row r="757" spans="1:18" x14ac:dyDescent="0.2">
      <c r="A757" s="1" t="s">
        <v>102</v>
      </c>
      <c r="B757" s="1" t="s">
        <v>12</v>
      </c>
      <c r="C757" s="2">
        <v>41155</v>
      </c>
      <c r="D757" s="1">
        <v>10</v>
      </c>
      <c r="E757" s="1" t="s">
        <v>52</v>
      </c>
      <c r="I757" s="1" t="s">
        <v>12</v>
      </c>
      <c r="J757" s="1" t="s">
        <v>40</v>
      </c>
      <c r="K757" s="1" t="s">
        <v>14</v>
      </c>
      <c r="L757" s="1" t="s">
        <v>12</v>
      </c>
      <c r="M757" s="1" t="s">
        <v>12</v>
      </c>
      <c r="N757" s="1">
        <v>21.12</v>
      </c>
      <c r="O757" s="1" t="s">
        <v>30</v>
      </c>
      <c r="P757" s="1" t="s">
        <v>28</v>
      </c>
      <c r="Q757" s="1" t="s">
        <v>16</v>
      </c>
      <c r="R757" s="1" t="str">
        <f>IF(N757="","",VLOOKUP(N757,Prior_levels,2,TRUE))</f>
        <v>L</v>
      </c>
    </row>
    <row r="758" spans="1:18" x14ac:dyDescent="0.2">
      <c r="A758" s="1" t="s">
        <v>102</v>
      </c>
      <c r="B758" s="1" t="s">
        <v>12</v>
      </c>
      <c r="C758" s="2">
        <v>41155</v>
      </c>
      <c r="D758" s="1">
        <v>10</v>
      </c>
      <c r="E758" s="1" t="s">
        <v>52</v>
      </c>
      <c r="I758" s="1" t="s">
        <v>12</v>
      </c>
      <c r="J758" s="1" t="s">
        <v>40</v>
      </c>
      <c r="K758" s="1" t="s">
        <v>14</v>
      </c>
      <c r="L758" s="1" t="s">
        <v>12</v>
      </c>
      <c r="M758" s="1" t="s">
        <v>12</v>
      </c>
      <c r="N758" s="1">
        <v>21.12</v>
      </c>
      <c r="O758" s="1" t="s">
        <v>31</v>
      </c>
      <c r="P758" s="1" t="s">
        <v>28</v>
      </c>
      <c r="Q758" s="1" t="s">
        <v>16</v>
      </c>
      <c r="R758" s="1" t="str">
        <f>IF(N758="","",VLOOKUP(N758,Prior_levels,2,TRUE))</f>
        <v>L</v>
      </c>
    </row>
    <row r="759" spans="1:18" x14ac:dyDescent="0.2">
      <c r="A759" s="1" t="s">
        <v>102</v>
      </c>
      <c r="B759" s="1" t="s">
        <v>12</v>
      </c>
      <c r="C759" s="2">
        <v>41155</v>
      </c>
      <c r="D759" s="1">
        <v>10</v>
      </c>
      <c r="E759" s="1" t="s">
        <v>52</v>
      </c>
      <c r="I759" s="1" t="s">
        <v>12</v>
      </c>
      <c r="J759" s="1" t="s">
        <v>40</v>
      </c>
      <c r="K759" s="1" t="s">
        <v>14</v>
      </c>
      <c r="L759" s="1" t="s">
        <v>12</v>
      </c>
      <c r="M759" s="1" t="s">
        <v>12</v>
      </c>
      <c r="N759" s="1">
        <v>21.12</v>
      </c>
      <c r="O759" s="1" t="s">
        <v>32</v>
      </c>
      <c r="P759" s="1" t="s">
        <v>28</v>
      </c>
      <c r="Q759" s="1" t="s">
        <v>16</v>
      </c>
      <c r="R759" s="1" t="str">
        <f>IF(N759="","",VLOOKUP(N759,Prior_levels,2,TRUE))</f>
        <v>L</v>
      </c>
    </row>
    <row r="760" spans="1:18" x14ac:dyDescent="0.2">
      <c r="A760" s="1" t="s">
        <v>103</v>
      </c>
      <c r="B760" s="1" t="s">
        <v>12</v>
      </c>
      <c r="C760" s="2">
        <v>41155</v>
      </c>
      <c r="D760" s="1">
        <v>10</v>
      </c>
      <c r="E760" s="1" t="s">
        <v>42</v>
      </c>
      <c r="I760" s="1" t="s">
        <v>12</v>
      </c>
      <c r="J760" s="1" t="s">
        <v>104</v>
      </c>
      <c r="K760" s="1" t="s">
        <v>14</v>
      </c>
      <c r="L760" s="1" t="s">
        <v>12</v>
      </c>
      <c r="M760" s="1" t="s">
        <v>12</v>
      </c>
      <c r="N760" s="1">
        <v>21.12</v>
      </c>
      <c r="O760" s="1" t="s">
        <v>15</v>
      </c>
      <c r="P760" s="1">
        <v>2.5</v>
      </c>
      <c r="Q760" s="1" t="s">
        <v>16</v>
      </c>
      <c r="R760" s="1" t="str">
        <f>IF(N760="","",VLOOKUP(N760,Prior_levels,2,TRUE))</f>
        <v>L</v>
      </c>
    </row>
    <row r="761" spans="1:18" x14ac:dyDescent="0.2">
      <c r="A761" s="1" t="s">
        <v>103</v>
      </c>
      <c r="B761" s="1" t="s">
        <v>12</v>
      </c>
      <c r="C761" s="2">
        <v>41155</v>
      </c>
      <c r="D761" s="1">
        <v>10</v>
      </c>
      <c r="E761" s="1" t="s">
        <v>42</v>
      </c>
      <c r="I761" s="1" t="s">
        <v>12</v>
      </c>
      <c r="J761" s="1" t="s">
        <v>104</v>
      </c>
      <c r="K761" s="1" t="s">
        <v>14</v>
      </c>
      <c r="L761" s="1" t="s">
        <v>12</v>
      </c>
      <c r="M761" s="1" t="s">
        <v>12</v>
      </c>
      <c r="N761" s="1">
        <v>21.12</v>
      </c>
      <c r="O761" s="1" t="s">
        <v>17</v>
      </c>
      <c r="P761" s="1">
        <v>-0.33</v>
      </c>
      <c r="Q761" s="1" t="s">
        <v>16</v>
      </c>
      <c r="R761" s="1" t="str">
        <f>IF(N761="","",VLOOKUP(N761,Prior_levels,2,TRUE))</f>
        <v>L</v>
      </c>
    </row>
    <row r="762" spans="1:18" x14ac:dyDescent="0.2">
      <c r="A762" s="1" t="s">
        <v>103</v>
      </c>
      <c r="B762" s="1" t="s">
        <v>12</v>
      </c>
      <c r="C762" s="2">
        <v>41155</v>
      </c>
      <c r="D762" s="1">
        <v>10</v>
      </c>
      <c r="E762" s="1" t="s">
        <v>42</v>
      </c>
      <c r="I762" s="1" t="s">
        <v>12</v>
      </c>
      <c r="J762" s="1" t="s">
        <v>104</v>
      </c>
      <c r="K762" s="1" t="s">
        <v>14</v>
      </c>
      <c r="L762" s="1" t="s">
        <v>12</v>
      </c>
      <c r="M762" s="1" t="s">
        <v>12</v>
      </c>
      <c r="N762" s="1">
        <v>21.12</v>
      </c>
      <c r="O762" s="1" t="s">
        <v>18</v>
      </c>
      <c r="P762" s="1">
        <v>6</v>
      </c>
      <c r="Q762" s="1" t="s">
        <v>16</v>
      </c>
      <c r="R762" s="1" t="str">
        <f>IF(N762="","",VLOOKUP(N762,Prior_levels,2,TRUE))</f>
        <v>L</v>
      </c>
    </row>
    <row r="763" spans="1:18" x14ac:dyDescent="0.2">
      <c r="A763" s="1" t="s">
        <v>103</v>
      </c>
      <c r="B763" s="1" t="s">
        <v>12</v>
      </c>
      <c r="C763" s="2">
        <v>41155</v>
      </c>
      <c r="D763" s="1">
        <v>10</v>
      </c>
      <c r="E763" s="1" t="s">
        <v>42</v>
      </c>
      <c r="I763" s="1" t="s">
        <v>12</v>
      </c>
      <c r="J763" s="1" t="s">
        <v>104</v>
      </c>
      <c r="K763" s="1" t="s">
        <v>14</v>
      </c>
      <c r="L763" s="1" t="s">
        <v>12</v>
      </c>
      <c r="M763" s="1" t="s">
        <v>12</v>
      </c>
      <c r="N763" s="1">
        <v>21.12</v>
      </c>
      <c r="O763" s="1" t="s">
        <v>19</v>
      </c>
      <c r="P763" s="1">
        <v>6</v>
      </c>
      <c r="Q763" s="1" t="s">
        <v>16</v>
      </c>
      <c r="R763" s="1" t="str">
        <f>IF(N763="","",VLOOKUP(N763,Prior_levels,2,TRUE))</f>
        <v>L</v>
      </c>
    </row>
    <row r="764" spans="1:18" x14ac:dyDescent="0.2">
      <c r="A764" s="1" t="s">
        <v>103</v>
      </c>
      <c r="B764" s="1" t="s">
        <v>12</v>
      </c>
      <c r="C764" s="2">
        <v>41155</v>
      </c>
      <c r="D764" s="1">
        <v>10</v>
      </c>
      <c r="E764" s="1" t="s">
        <v>42</v>
      </c>
      <c r="I764" s="1" t="s">
        <v>12</v>
      </c>
      <c r="J764" s="1" t="s">
        <v>104</v>
      </c>
      <c r="K764" s="1" t="s">
        <v>14</v>
      </c>
      <c r="L764" s="1" t="s">
        <v>12</v>
      </c>
      <c r="M764" s="1" t="s">
        <v>12</v>
      </c>
      <c r="N764" s="1">
        <v>21.12</v>
      </c>
      <c r="O764" s="1" t="s">
        <v>20</v>
      </c>
      <c r="P764" s="1">
        <v>6</v>
      </c>
      <c r="Q764" s="1" t="s">
        <v>16</v>
      </c>
      <c r="R764" s="1" t="str">
        <f>IF(N764="","",VLOOKUP(N764,Prior_levels,2,TRUE))</f>
        <v>L</v>
      </c>
    </row>
    <row r="765" spans="1:18" x14ac:dyDescent="0.2">
      <c r="A765" s="1" t="s">
        <v>103</v>
      </c>
      <c r="B765" s="1" t="s">
        <v>12</v>
      </c>
      <c r="C765" s="2">
        <v>41155</v>
      </c>
      <c r="D765" s="1">
        <v>10</v>
      </c>
      <c r="E765" s="1" t="s">
        <v>42</v>
      </c>
      <c r="I765" s="1" t="s">
        <v>12</v>
      </c>
      <c r="J765" s="1" t="s">
        <v>104</v>
      </c>
      <c r="K765" s="1" t="s">
        <v>14</v>
      </c>
      <c r="L765" s="1" t="s">
        <v>12</v>
      </c>
      <c r="M765" s="1" t="s">
        <v>12</v>
      </c>
      <c r="N765" s="1">
        <v>21.12</v>
      </c>
      <c r="O765" s="1" t="s">
        <v>21</v>
      </c>
      <c r="P765" s="1">
        <v>7</v>
      </c>
      <c r="Q765" s="1" t="s">
        <v>16</v>
      </c>
      <c r="R765" s="1" t="str">
        <f>IF(N765="","",VLOOKUP(N765,Prior_levels,2,TRUE))</f>
        <v>L</v>
      </c>
    </row>
    <row r="766" spans="1:18" x14ac:dyDescent="0.2">
      <c r="A766" s="1" t="s">
        <v>103</v>
      </c>
      <c r="B766" s="1" t="s">
        <v>12</v>
      </c>
      <c r="C766" s="2">
        <v>41155</v>
      </c>
      <c r="D766" s="1">
        <v>10</v>
      </c>
      <c r="E766" s="1" t="s">
        <v>42</v>
      </c>
      <c r="I766" s="1" t="s">
        <v>12</v>
      </c>
      <c r="J766" s="1" t="s">
        <v>104</v>
      </c>
      <c r="K766" s="1" t="s">
        <v>14</v>
      </c>
      <c r="L766" s="1" t="s">
        <v>12</v>
      </c>
      <c r="M766" s="1" t="s">
        <v>12</v>
      </c>
      <c r="N766" s="1">
        <v>21.12</v>
      </c>
      <c r="O766" s="1" t="s">
        <v>22</v>
      </c>
      <c r="P766" s="1">
        <v>-0.66</v>
      </c>
      <c r="Q766" s="1" t="s">
        <v>16</v>
      </c>
      <c r="R766" s="1" t="str">
        <f>IF(N766="","",VLOOKUP(N766,Prior_levels,2,TRUE))</f>
        <v>L</v>
      </c>
    </row>
    <row r="767" spans="1:18" x14ac:dyDescent="0.2">
      <c r="A767" s="1" t="s">
        <v>103</v>
      </c>
      <c r="B767" s="1" t="s">
        <v>12</v>
      </c>
      <c r="C767" s="2">
        <v>41155</v>
      </c>
      <c r="D767" s="1">
        <v>10</v>
      </c>
      <c r="E767" s="1" t="s">
        <v>42</v>
      </c>
      <c r="I767" s="1" t="s">
        <v>12</v>
      </c>
      <c r="J767" s="1" t="s">
        <v>104</v>
      </c>
      <c r="K767" s="1" t="s">
        <v>14</v>
      </c>
      <c r="L767" s="1" t="s">
        <v>12</v>
      </c>
      <c r="M767" s="1" t="s">
        <v>12</v>
      </c>
      <c r="N767" s="1">
        <v>21.12</v>
      </c>
      <c r="O767" s="1" t="s">
        <v>23</v>
      </c>
      <c r="P767" s="1">
        <v>0.39</v>
      </c>
      <c r="Q767" s="1" t="s">
        <v>16</v>
      </c>
      <c r="R767" s="1" t="str">
        <f>IF(N767="","",VLOOKUP(N767,Prior_levels,2,TRUE))</f>
        <v>L</v>
      </c>
    </row>
    <row r="768" spans="1:18" x14ac:dyDescent="0.2">
      <c r="A768" s="1" t="s">
        <v>103</v>
      </c>
      <c r="B768" s="1" t="s">
        <v>12</v>
      </c>
      <c r="C768" s="2">
        <v>41155</v>
      </c>
      <c r="D768" s="1">
        <v>10</v>
      </c>
      <c r="E768" s="1" t="s">
        <v>42</v>
      </c>
      <c r="I768" s="1" t="s">
        <v>12</v>
      </c>
      <c r="J768" s="1" t="s">
        <v>104</v>
      </c>
      <c r="K768" s="1" t="s">
        <v>14</v>
      </c>
      <c r="L768" s="1" t="s">
        <v>12</v>
      </c>
      <c r="M768" s="1" t="s">
        <v>12</v>
      </c>
      <c r="N768" s="1">
        <v>21.12</v>
      </c>
      <c r="O768" s="1" t="s">
        <v>25</v>
      </c>
      <c r="P768" s="1">
        <v>-4.2</v>
      </c>
      <c r="Q768" s="1" t="s">
        <v>16</v>
      </c>
      <c r="R768" s="1" t="str">
        <f>IF(N768="","",VLOOKUP(N768,Prior_levels,2,TRUE))</f>
        <v>L</v>
      </c>
    </row>
    <row r="769" spans="1:18" x14ac:dyDescent="0.2">
      <c r="A769" s="1" t="s">
        <v>103</v>
      </c>
      <c r="B769" s="1" t="s">
        <v>12</v>
      </c>
      <c r="C769" s="2">
        <v>41155</v>
      </c>
      <c r="D769" s="1">
        <v>10</v>
      </c>
      <c r="E769" s="1" t="s">
        <v>42</v>
      </c>
      <c r="I769" s="1" t="s">
        <v>12</v>
      </c>
      <c r="J769" s="1" t="s">
        <v>104</v>
      </c>
      <c r="K769" s="1" t="s">
        <v>14</v>
      </c>
      <c r="L769" s="1" t="s">
        <v>12</v>
      </c>
      <c r="M769" s="1" t="s">
        <v>12</v>
      </c>
      <c r="N769" s="1">
        <v>21.12</v>
      </c>
      <c r="O769" s="1" t="s">
        <v>26</v>
      </c>
      <c r="P769" s="1">
        <v>0</v>
      </c>
      <c r="Q769" s="1" t="s">
        <v>16</v>
      </c>
      <c r="R769" s="1" t="str">
        <f>IF(N769="","",VLOOKUP(N769,Prior_levels,2,TRUE))</f>
        <v>L</v>
      </c>
    </row>
    <row r="770" spans="1:18" x14ac:dyDescent="0.2">
      <c r="A770" s="1" t="s">
        <v>103</v>
      </c>
      <c r="B770" s="1" t="s">
        <v>12</v>
      </c>
      <c r="C770" s="2">
        <v>41155</v>
      </c>
      <c r="D770" s="1">
        <v>10</v>
      </c>
      <c r="E770" s="1" t="s">
        <v>42</v>
      </c>
      <c r="I770" s="1" t="s">
        <v>12</v>
      </c>
      <c r="J770" s="1" t="s">
        <v>104</v>
      </c>
      <c r="K770" s="1" t="s">
        <v>14</v>
      </c>
      <c r="L770" s="1" t="s">
        <v>12</v>
      </c>
      <c r="M770" s="1" t="s">
        <v>12</v>
      </c>
      <c r="N770" s="1">
        <v>21.12</v>
      </c>
      <c r="O770" s="1" t="s">
        <v>24</v>
      </c>
      <c r="P770" s="1">
        <v>1.49</v>
      </c>
      <c r="Q770" s="1" t="s">
        <v>16</v>
      </c>
      <c r="R770" s="1" t="str">
        <f>IF(N770="","",VLOOKUP(N770,Prior_levels,2,TRUE))</f>
        <v>L</v>
      </c>
    </row>
    <row r="771" spans="1:18" x14ac:dyDescent="0.2">
      <c r="A771" s="1" t="s">
        <v>103</v>
      </c>
      <c r="B771" s="1" t="s">
        <v>12</v>
      </c>
      <c r="C771" s="2">
        <v>41155</v>
      </c>
      <c r="D771" s="1">
        <v>10</v>
      </c>
      <c r="E771" s="1" t="s">
        <v>42</v>
      </c>
      <c r="I771" s="1" t="s">
        <v>12</v>
      </c>
      <c r="J771" s="1" t="s">
        <v>104</v>
      </c>
      <c r="K771" s="1" t="s">
        <v>14</v>
      </c>
      <c r="L771" s="1" t="s">
        <v>12</v>
      </c>
      <c r="M771" s="1" t="s">
        <v>12</v>
      </c>
      <c r="N771" s="1">
        <v>21.12</v>
      </c>
      <c r="O771" s="1" t="s">
        <v>32</v>
      </c>
      <c r="P771" s="1" t="s">
        <v>28</v>
      </c>
      <c r="Q771" s="1" t="s">
        <v>16</v>
      </c>
      <c r="R771" s="1" t="str">
        <f>IF(N771="","",VLOOKUP(N771,Prior_levels,2,TRUE))</f>
        <v>L</v>
      </c>
    </row>
    <row r="772" spans="1:18" x14ac:dyDescent="0.2">
      <c r="A772" s="1" t="s">
        <v>103</v>
      </c>
      <c r="B772" s="1" t="s">
        <v>12</v>
      </c>
      <c r="C772" s="2">
        <v>41155</v>
      </c>
      <c r="D772" s="1">
        <v>10</v>
      </c>
      <c r="E772" s="1" t="s">
        <v>42</v>
      </c>
      <c r="I772" s="1" t="s">
        <v>12</v>
      </c>
      <c r="J772" s="1" t="s">
        <v>104</v>
      </c>
      <c r="K772" s="1" t="s">
        <v>14</v>
      </c>
      <c r="L772" s="1" t="s">
        <v>12</v>
      </c>
      <c r="M772" s="1" t="s">
        <v>12</v>
      </c>
      <c r="N772" s="1">
        <v>21.12</v>
      </c>
      <c r="O772" s="1" t="s">
        <v>27</v>
      </c>
      <c r="P772" s="1" t="s">
        <v>28</v>
      </c>
      <c r="Q772" s="1" t="s">
        <v>16</v>
      </c>
      <c r="R772" s="1" t="str">
        <f>IF(N772="","",VLOOKUP(N772,Prior_levels,2,TRUE))</f>
        <v>L</v>
      </c>
    </row>
    <row r="773" spans="1:18" x14ac:dyDescent="0.2">
      <c r="A773" s="1" t="s">
        <v>103</v>
      </c>
      <c r="B773" s="1" t="s">
        <v>12</v>
      </c>
      <c r="C773" s="2">
        <v>41155</v>
      </c>
      <c r="D773" s="1">
        <v>10</v>
      </c>
      <c r="E773" s="1" t="s">
        <v>42</v>
      </c>
      <c r="I773" s="1" t="s">
        <v>12</v>
      </c>
      <c r="J773" s="1" t="s">
        <v>104</v>
      </c>
      <c r="K773" s="1" t="s">
        <v>14</v>
      </c>
      <c r="L773" s="1" t="s">
        <v>12</v>
      </c>
      <c r="M773" s="1" t="s">
        <v>12</v>
      </c>
      <c r="N773" s="1">
        <v>21.12</v>
      </c>
      <c r="O773" s="1" t="s">
        <v>29</v>
      </c>
      <c r="P773" s="1" t="s">
        <v>28</v>
      </c>
      <c r="Q773" s="1" t="s">
        <v>16</v>
      </c>
      <c r="R773" s="1" t="str">
        <f>IF(N773="","",VLOOKUP(N773,Prior_levels,2,TRUE))</f>
        <v>L</v>
      </c>
    </row>
    <row r="774" spans="1:18" x14ac:dyDescent="0.2">
      <c r="A774" s="1" t="s">
        <v>103</v>
      </c>
      <c r="B774" s="1" t="s">
        <v>12</v>
      </c>
      <c r="C774" s="2">
        <v>41155</v>
      </c>
      <c r="D774" s="1">
        <v>10</v>
      </c>
      <c r="E774" s="1" t="s">
        <v>42</v>
      </c>
      <c r="I774" s="1" t="s">
        <v>12</v>
      </c>
      <c r="J774" s="1" t="s">
        <v>104</v>
      </c>
      <c r="K774" s="1" t="s">
        <v>14</v>
      </c>
      <c r="L774" s="1" t="s">
        <v>12</v>
      </c>
      <c r="M774" s="1" t="s">
        <v>12</v>
      </c>
      <c r="N774" s="1">
        <v>21.12</v>
      </c>
      <c r="O774" s="1" t="s">
        <v>30</v>
      </c>
      <c r="P774" s="1" t="s">
        <v>28</v>
      </c>
      <c r="Q774" s="1" t="s">
        <v>16</v>
      </c>
      <c r="R774" s="1" t="str">
        <f>IF(N774="","",VLOOKUP(N774,Prior_levels,2,TRUE))</f>
        <v>L</v>
      </c>
    </row>
    <row r="775" spans="1:18" x14ac:dyDescent="0.2">
      <c r="A775" s="1" t="s">
        <v>103</v>
      </c>
      <c r="B775" s="1" t="s">
        <v>12</v>
      </c>
      <c r="C775" s="2">
        <v>41155</v>
      </c>
      <c r="D775" s="1">
        <v>10</v>
      </c>
      <c r="E775" s="1" t="s">
        <v>42</v>
      </c>
      <c r="I775" s="1" t="s">
        <v>12</v>
      </c>
      <c r="J775" s="1" t="s">
        <v>104</v>
      </c>
      <c r="K775" s="1" t="s">
        <v>14</v>
      </c>
      <c r="L775" s="1" t="s">
        <v>12</v>
      </c>
      <c r="M775" s="1" t="s">
        <v>12</v>
      </c>
      <c r="N775" s="1">
        <v>21.12</v>
      </c>
      <c r="O775" s="1" t="s">
        <v>31</v>
      </c>
      <c r="P775" s="1" t="s">
        <v>28</v>
      </c>
      <c r="Q775" s="1" t="s">
        <v>16</v>
      </c>
      <c r="R775" s="1" t="str">
        <f>IF(N775="","",VLOOKUP(N775,Prior_levels,2,TRUE))</f>
        <v>L</v>
      </c>
    </row>
    <row r="776" spans="1:18" x14ac:dyDescent="0.2">
      <c r="A776" s="1" t="s">
        <v>105</v>
      </c>
      <c r="B776" s="1" t="s">
        <v>12</v>
      </c>
      <c r="C776" s="2">
        <v>41155</v>
      </c>
      <c r="D776" s="1">
        <v>10</v>
      </c>
      <c r="E776" s="1" t="s">
        <v>42</v>
      </c>
      <c r="H776" s="1" t="s">
        <v>54</v>
      </c>
      <c r="I776" s="1" t="s">
        <v>12</v>
      </c>
      <c r="J776" s="1" t="s">
        <v>40</v>
      </c>
      <c r="K776" s="1" t="s">
        <v>14</v>
      </c>
      <c r="L776" s="1" t="s">
        <v>12</v>
      </c>
      <c r="M776" s="1" t="s">
        <v>12</v>
      </c>
      <c r="N776" s="1">
        <v>30.18</v>
      </c>
      <c r="O776" s="1" t="s">
        <v>15</v>
      </c>
      <c r="P776" s="1">
        <v>5</v>
      </c>
      <c r="Q776" s="1" t="s">
        <v>16</v>
      </c>
      <c r="R776" s="1" t="str">
        <f>IF(N776="","",VLOOKUP(N776,Prior_levels,2,TRUE))</f>
        <v>H</v>
      </c>
    </row>
    <row r="777" spans="1:18" x14ac:dyDescent="0.2">
      <c r="A777" s="1" t="s">
        <v>105</v>
      </c>
      <c r="B777" s="1" t="s">
        <v>12</v>
      </c>
      <c r="C777" s="2">
        <v>41155</v>
      </c>
      <c r="D777" s="1">
        <v>10</v>
      </c>
      <c r="E777" s="1" t="s">
        <v>42</v>
      </c>
      <c r="H777" s="1" t="s">
        <v>54</v>
      </c>
      <c r="I777" s="1" t="s">
        <v>12</v>
      </c>
      <c r="J777" s="1" t="s">
        <v>40</v>
      </c>
      <c r="K777" s="1" t="s">
        <v>14</v>
      </c>
      <c r="L777" s="1" t="s">
        <v>12</v>
      </c>
      <c r="M777" s="1" t="s">
        <v>12</v>
      </c>
      <c r="N777" s="1">
        <v>30.18</v>
      </c>
      <c r="O777" s="1" t="s">
        <v>17</v>
      </c>
      <c r="P777" s="1">
        <v>-0.59</v>
      </c>
      <c r="Q777" s="1" t="s">
        <v>16</v>
      </c>
      <c r="R777" s="1" t="str">
        <f>IF(N777="","",VLOOKUP(N777,Prior_levels,2,TRUE))</f>
        <v>H</v>
      </c>
    </row>
    <row r="778" spans="1:18" x14ac:dyDescent="0.2">
      <c r="A778" s="1" t="s">
        <v>105</v>
      </c>
      <c r="B778" s="1" t="s">
        <v>12</v>
      </c>
      <c r="C778" s="2">
        <v>41155</v>
      </c>
      <c r="D778" s="1">
        <v>10</v>
      </c>
      <c r="E778" s="1" t="s">
        <v>42</v>
      </c>
      <c r="H778" s="1" t="s">
        <v>54</v>
      </c>
      <c r="I778" s="1" t="s">
        <v>12</v>
      </c>
      <c r="J778" s="1" t="s">
        <v>40</v>
      </c>
      <c r="K778" s="1" t="s">
        <v>14</v>
      </c>
      <c r="L778" s="1" t="s">
        <v>12</v>
      </c>
      <c r="M778" s="1" t="s">
        <v>12</v>
      </c>
      <c r="N778" s="1">
        <v>30.18</v>
      </c>
      <c r="O778" s="1" t="s">
        <v>18</v>
      </c>
      <c r="P778" s="1">
        <v>10</v>
      </c>
      <c r="Q778" s="1" t="s">
        <v>16</v>
      </c>
      <c r="R778" s="1" t="str">
        <f>IF(N778="","",VLOOKUP(N778,Prior_levels,2,TRUE))</f>
        <v>H</v>
      </c>
    </row>
    <row r="779" spans="1:18" x14ac:dyDescent="0.2">
      <c r="A779" s="1" t="s">
        <v>105</v>
      </c>
      <c r="B779" s="1" t="s">
        <v>12</v>
      </c>
      <c r="C779" s="2">
        <v>41155</v>
      </c>
      <c r="D779" s="1">
        <v>10</v>
      </c>
      <c r="E779" s="1" t="s">
        <v>42</v>
      </c>
      <c r="H779" s="1" t="s">
        <v>54</v>
      </c>
      <c r="I779" s="1" t="s">
        <v>12</v>
      </c>
      <c r="J779" s="1" t="s">
        <v>40</v>
      </c>
      <c r="K779" s="1" t="s">
        <v>14</v>
      </c>
      <c r="L779" s="1" t="s">
        <v>12</v>
      </c>
      <c r="M779" s="1" t="s">
        <v>12</v>
      </c>
      <c r="N779" s="1">
        <v>30.18</v>
      </c>
      <c r="O779" s="1" t="s">
        <v>19</v>
      </c>
      <c r="P779" s="1">
        <v>12</v>
      </c>
      <c r="Q779" s="1" t="s">
        <v>16</v>
      </c>
      <c r="R779" s="1" t="str">
        <f>IF(N779="","",VLOOKUP(N779,Prior_levels,2,TRUE))</f>
        <v>H</v>
      </c>
    </row>
    <row r="780" spans="1:18" x14ac:dyDescent="0.2">
      <c r="A780" s="1" t="s">
        <v>105</v>
      </c>
      <c r="B780" s="1" t="s">
        <v>12</v>
      </c>
      <c r="C780" s="2">
        <v>41155</v>
      </c>
      <c r="D780" s="1">
        <v>10</v>
      </c>
      <c r="E780" s="1" t="s">
        <v>42</v>
      </c>
      <c r="H780" s="1" t="s">
        <v>54</v>
      </c>
      <c r="I780" s="1" t="s">
        <v>12</v>
      </c>
      <c r="J780" s="1" t="s">
        <v>40</v>
      </c>
      <c r="K780" s="1" t="s">
        <v>14</v>
      </c>
      <c r="L780" s="1" t="s">
        <v>12</v>
      </c>
      <c r="M780" s="1" t="s">
        <v>12</v>
      </c>
      <c r="N780" s="1">
        <v>30.18</v>
      </c>
      <c r="O780" s="1" t="s">
        <v>20</v>
      </c>
      <c r="P780" s="1">
        <v>15</v>
      </c>
      <c r="Q780" s="1" t="s">
        <v>16</v>
      </c>
      <c r="R780" s="1" t="str">
        <f>IF(N780="","",VLOOKUP(N780,Prior_levels,2,TRUE))</f>
        <v>H</v>
      </c>
    </row>
    <row r="781" spans="1:18" x14ac:dyDescent="0.2">
      <c r="A781" s="1" t="s">
        <v>105</v>
      </c>
      <c r="B781" s="1" t="s">
        <v>12</v>
      </c>
      <c r="C781" s="2">
        <v>41155</v>
      </c>
      <c r="D781" s="1">
        <v>10</v>
      </c>
      <c r="E781" s="1" t="s">
        <v>42</v>
      </c>
      <c r="H781" s="1" t="s">
        <v>54</v>
      </c>
      <c r="I781" s="1" t="s">
        <v>12</v>
      </c>
      <c r="J781" s="1" t="s">
        <v>40</v>
      </c>
      <c r="K781" s="1" t="s">
        <v>14</v>
      </c>
      <c r="L781" s="1" t="s">
        <v>12</v>
      </c>
      <c r="M781" s="1" t="s">
        <v>12</v>
      </c>
      <c r="N781" s="1">
        <v>30.18</v>
      </c>
      <c r="O781" s="1" t="s">
        <v>21</v>
      </c>
      <c r="P781" s="1">
        <v>13</v>
      </c>
      <c r="Q781" s="1" t="s">
        <v>16</v>
      </c>
      <c r="R781" s="1" t="str">
        <f>IF(N781="","",VLOOKUP(N781,Prior_levels,2,TRUE))</f>
        <v>H</v>
      </c>
    </row>
    <row r="782" spans="1:18" x14ac:dyDescent="0.2">
      <c r="A782" s="1" t="s">
        <v>105</v>
      </c>
      <c r="B782" s="1" t="s">
        <v>12</v>
      </c>
      <c r="C782" s="2">
        <v>41155</v>
      </c>
      <c r="D782" s="1">
        <v>10</v>
      </c>
      <c r="E782" s="1" t="s">
        <v>42</v>
      </c>
      <c r="H782" s="1" t="s">
        <v>54</v>
      </c>
      <c r="I782" s="1" t="s">
        <v>12</v>
      </c>
      <c r="J782" s="1" t="s">
        <v>40</v>
      </c>
      <c r="K782" s="1" t="s">
        <v>14</v>
      </c>
      <c r="L782" s="1" t="s">
        <v>12</v>
      </c>
      <c r="M782" s="1" t="s">
        <v>12</v>
      </c>
      <c r="N782" s="1">
        <v>30.18</v>
      </c>
      <c r="O782" s="1" t="s">
        <v>22</v>
      </c>
      <c r="P782" s="1">
        <v>-0.85</v>
      </c>
      <c r="Q782" s="1" t="s">
        <v>16</v>
      </c>
      <c r="R782" s="1" t="str">
        <f>IF(N782="","",VLOOKUP(N782,Prior_levels,2,TRUE))</f>
        <v>H</v>
      </c>
    </row>
    <row r="783" spans="1:18" x14ac:dyDescent="0.2">
      <c r="A783" s="1" t="s">
        <v>105</v>
      </c>
      <c r="B783" s="1" t="s">
        <v>12</v>
      </c>
      <c r="C783" s="2">
        <v>41155</v>
      </c>
      <c r="D783" s="1">
        <v>10</v>
      </c>
      <c r="E783" s="1" t="s">
        <v>42</v>
      </c>
      <c r="H783" s="1" t="s">
        <v>54</v>
      </c>
      <c r="I783" s="1" t="s">
        <v>12</v>
      </c>
      <c r="J783" s="1" t="s">
        <v>40</v>
      </c>
      <c r="K783" s="1" t="s">
        <v>14</v>
      </c>
      <c r="L783" s="1" t="s">
        <v>12</v>
      </c>
      <c r="M783" s="1" t="s">
        <v>12</v>
      </c>
      <c r="N783" s="1">
        <v>30.18</v>
      </c>
      <c r="O783" s="1" t="s">
        <v>23</v>
      </c>
      <c r="P783" s="1">
        <v>0.37</v>
      </c>
      <c r="Q783" s="1" t="s">
        <v>16</v>
      </c>
      <c r="R783" s="1" t="str">
        <f>IF(N783="","",VLOOKUP(N783,Prior_levels,2,TRUE))</f>
        <v>H</v>
      </c>
    </row>
    <row r="784" spans="1:18" x14ac:dyDescent="0.2">
      <c r="A784" s="1" t="s">
        <v>105</v>
      </c>
      <c r="B784" s="1" t="s">
        <v>12</v>
      </c>
      <c r="C784" s="2">
        <v>41155</v>
      </c>
      <c r="D784" s="1">
        <v>10</v>
      </c>
      <c r="E784" s="1" t="s">
        <v>42</v>
      </c>
      <c r="H784" s="1" t="s">
        <v>54</v>
      </c>
      <c r="I784" s="1" t="s">
        <v>12</v>
      </c>
      <c r="J784" s="1" t="s">
        <v>40</v>
      </c>
      <c r="K784" s="1" t="s">
        <v>14</v>
      </c>
      <c r="L784" s="1" t="s">
        <v>12</v>
      </c>
      <c r="M784" s="1" t="s">
        <v>12</v>
      </c>
      <c r="N784" s="1">
        <v>30.18</v>
      </c>
      <c r="O784" s="1" t="s">
        <v>24</v>
      </c>
      <c r="P784" s="1">
        <v>-0.71</v>
      </c>
      <c r="Q784" s="1" t="s">
        <v>16</v>
      </c>
      <c r="R784" s="1" t="str">
        <f>IF(N784="","",VLOOKUP(N784,Prior_levels,2,TRUE))</f>
        <v>H</v>
      </c>
    </row>
    <row r="785" spans="1:18" x14ac:dyDescent="0.2">
      <c r="A785" s="1" t="s">
        <v>105</v>
      </c>
      <c r="B785" s="1" t="s">
        <v>12</v>
      </c>
      <c r="C785" s="2">
        <v>41155</v>
      </c>
      <c r="D785" s="1">
        <v>10</v>
      </c>
      <c r="E785" s="1" t="s">
        <v>42</v>
      </c>
      <c r="H785" s="1" t="s">
        <v>54</v>
      </c>
      <c r="I785" s="1" t="s">
        <v>12</v>
      </c>
      <c r="J785" s="1" t="s">
        <v>40</v>
      </c>
      <c r="K785" s="1" t="s">
        <v>14</v>
      </c>
      <c r="L785" s="1" t="s">
        <v>12</v>
      </c>
      <c r="M785" s="1" t="s">
        <v>12</v>
      </c>
      <c r="N785" s="1">
        <v>30.18</v>
      </c>
      <c r="O785" s="1" t="s">
        <v>25</v>
      </c>
      <c r="P785" s="1">
        <v>-4.21</v>
      </c>
      <c r="Q785" s="1" t="s">
        <v>16</v>
      </c>
      <c r="R785" s="1" t="str">
        <f>IF(N785="","",VLOOKUP(N785,Prior_levels,2,TRUE))</f>
        <v>H</v>
      </c>
    </row>
    <row r="786" spans="1:18" x14ac:dyDescent="0.2">
      <c r="A786" s="1" t="s">
        <v>105</v>
      </c>
      <c r="B786" s="1" t="s">
        <v>12</v>
      </c>
      <c r="C786" s="2">
        <v>41155</v>
      </c>
      <c r="D786" s="1">
        <v>10</v>
      </c>
      <c r="E786" s="1" t="s">
        <v>42</v>
      </c>
      <c r="H786" s="1" t="s">
        <v>54</v>
      </c>
      <c r="I786" s="1" t="s">
        <v>12</v>
      </c>
      <c r="J786" s="1" t="s">
        <v>40</v>
      </c>
      <c r="K786" s="1" t="s">
        <v>14</v>
      </c>
      <c r="L786" s="1" t="s">
        <v>12</v>
      </c>
      <c r="M786" s="1" t="s">
        <v>12</v>
      </c>
      <c r="N786" s="1">
        <v>30.18</v>
      </c>
      <c r="O786" s="1" t="s">
        <v>26</v>
      </c>
      <c r="P786" s="1">
        <v>9</v>
      </c>
      <c r="Q786" s="1" t="s">
        <v>16</v>
      </c>
      <c r="R786" s="1" t="str">
        <f>IF(N786="","",VLOOKUP(N786,Prior_levels,2,TRUE))</f>
        <v>H</v>
      </c>
    </row>
    <row r="787" spans="1:18" x14ac:dyDescent="0.2">
      <c r="A787" s="1" t="s">
        <v>105</v>
      </c>
      <c r="B787" s="1" t="s">
        <v>12</v>
      </c>
      <c r="C787" s="2">
        <v>41155</v>
      </c>
      <c r="D787" s="1">
        <v>10</v>
      </c>
      <c r="E787" s="1" t="s">
        <v>42</v>
      </c>
      <c r="H787" s="1" t="s">
        <v>54</v>
      </c>
      <c r="I787" s="1" t="s">
        <v>12</v>
      </c>
      <c r="J787" s="1" t="s">
        <v>40</v>
      </c>
      <c r="K787" s="1" t="s">
        <v>14</v>
      </c>
      <c r="L787" s="1" t="s">
        <v>12</v>
      </c>
      <c r="M787" s="1" t="s">
        <v>12</v>
      </c>
      <c r="N787" s="1">
        <v>30.18</v>
      </c>
      <c r="O787" s="1" t="s">
        <v>27</v>
      </c>
      <c r="P787" s="1" t="s">
        <v>37</v>
      </c>
      <c r="Q787" s="1" t="s">
        <v>16</v>
      </c>
      <c r="R787" s="1" t="str">
        <f>IF(N787="","",VLOOKUP(N787,Prior_levels,2,TRUE))</f>
        <v>H</v>
      </c>
    </row>
    <row r="788" spans="1:18" x14ac:dyDescent="0.2">
      <c r="A788" s="1" t="s">
        <v>105</v>
      </c>
      <c r="B788" s="1" t="s">
        <v>12</v>
      </c>
      <c r="C788" s="2">
        <v>41155</v>
      </c>
      <c r="D788" s="1">
        <v>10</v>
      </c>
      <c r="E788" s="1" t="s">
        <v>42</v>
      </c>
      <c r="H788" s="1" t="s">
        <v>54</v>
      </c>
      <c r="I788" s="1" t="s">
        <v>12</v>
      </c>
      <c r="J788" s="1" t="s">
        <v>40</v>
      </c>
      <c r="K788" s="1" t="s">
        <v>14</v>
      </c>
      <c r="L788" s="1" t="s">
        <v>12</v>
      </c>
      <c r="M788" s="1" t="s">
        <v>12</v>
      </c>
      <c r="N788" s="1">
        <v>30.18</v>
      </c>
      <c r="O788" s="1" t="s">
        <v>29</v>
      </c>
      <c r="P788" s="1" t="s">
        <v>37</v>
      </c>
      <c r="Q788" s="1" t="s">
        <v>16</v>
      </c>
      <c r="R788" s="1" t="str">
        <f>IF(N788="","",VLOOKUP(N788,Prior_levels,2,TRUE))</f>
        <v>H</v>
      </c>
    </row>
    <row r="789" spans="1:18" x14ac:dyDescent="0.2">
      <c r="A789" s="1" t="s">
        <v>105</v>
      </c>
      <c r="B789" s="1" t="s">
        <v>12</v>
      </c>
      <c r="C789" s="2">
        <v>41155</v>
      </c>
      <c r="D789" s="1">
        <v>10</v>
      </c>
      <c r="E789" s="1" t="s">
        <v>42</v>
      </c>
      <c r="H789" s="1" t="s">
        <v>54</v>
      </c>
      <c r="I789" s="1" t="s">
        <v>12</v>
      </c>
      <c r="J789" s="1" t="s">
        <v>40</v>
      </c>
      <c r="K789" s="1" t="s">
        <v>14</v>
      </c>
      <c r="L789" s="1" t="s">
        <v>12</v>
      </c>
      <c r="M789" s="1" t="s">
        <v>12</v>
      </c>
      <c r="N789" s="1">
        <v>30.18</v>
      </c>
      <c r="O789" s="1" t="s">
        <v>30</v>
      </c>
      <c r="P789" s="1" t="s">
        <v>37</v>
      </c>
      <c r="Q789" s="1" t="s">
        <v>16</v>
      </c>
      <c r="R789" s="1" t="str">
        <f>IF(N789="","",VLOOKUP(N789,Prior_levels,2,TRUE))</f>
        <v>H</v>
      </c>
    </row>
    <row r="790" spans="1:18" x14ac:dyDescent="0.2">
      <c r="A790" s="1" t="s">
        <v>105</v>
      </c>
      <c r="B790" s="1" t="s">
        <v>12</v>
      </c>
      <c r="C790" s="2">
        <v>41155</v>
      </c>
      <c r="D790" s="1">
        <v>10</v>
      </c>
      <c r="E790" s="1" t="s">
        <v>42</v>
      </c>
      <c r="H790" s="1" t="s">
        <v>54</v>
      </c>
      <c r="I790" s="1" t="s">
        <v>12</v>
      </c>
      <c r="J790" s="1" t="s">
        <v>40</v>
      </c>
      <c r="K790" s="1" t="s">
        <v>14</v>
      </c>
      <c r="L790" s="1" t="s">
        <v>12</v>
      </c>
      <c r="M790" s="1" t="s">
        <v>12</v>
      </c>
      <c r="N790" s="1">
        <v>30.18</v>
      </c>
      <c r="O790" s="1" t="s">
        <v>31</v>
      </c>
      <c r="P790" s="1" t="s">
        <v>28</v>
      </c>
      <c r="Q790" s="1" t="s">
        <v>16</v>
      </c>
      <c r="R790" s="1" t="str">
        <f>IF(N790="","",VLOOKUP(N790,Prior_levels,2,TRUE))</f>
        <v>H</v>
      </c>
    </row>
    <row r="791" spans="1:18" x14ac:dyDescent="0.2">
      <c r="A791" s="1" t="s">
        <v>105</v>
      </c>
      <c r="B791" s="1" t="s">
        <v>12</v>
      </c>
      <c r="C791" s="2">
        <v>41155</v>
      </c>
      <c r="D791" s="1">
        <v>10</v>
      </c>
      <c r="E791" s="1" t="s">
        <v>42</v>
      </c>
      <c r="H791" s="1" t="s">
        <v>54</v>
      </c>
      <c r="I791" s="1" t="s">
        <v>12</v>
      </c>
      <c r="J791" s="1" t="s">
        <v>40</v>
      </c>
      <c r="K791" s="1" t="s">
        <v>14</v>
      </c>
      <c r="L791" s="1" t="s">
        <v>12</v>
      </c>
      <c r="M791" s="1" t="s">
        <v>12</v>
      </c>
      <c r="N791" s="1">
        <v>30.18</v>
      </c>
      <c r="O791" s="1" t="s">
        <v>32</v>
      </c>
      <c r="P791" s="1" t="s">
        <v>37</v>
      </c>
      <c r="Q791" s="1" t="s">
        <v>16</v>
      </c>
      <c r="R791" s="1" t="str">
        <f>IF(N791="","",VLOOKUP(N791,Prior_levels,2,TRUE))</f>
        <v>H</v>
      </c>
    </row>
    <row r="792" spans="1:18" x14ac:dyDescent="0.2">
      <c r="A792" s="1" t="s">
        <v>106</v>
      </c>
      <c r="B792" s="1" t="s">
        <v>12</v>
      </c>
      <c r="C792" s="2">
        <v>41155</v>
      </c>
      <c r="D792" s="1">
        <v>10</v>
      </c>
      <c r="E792" s="1" t="s">
        <v>34</v>
      </c>
      <c r="I792" s="1" t="s">
        <v>12</v>
      </c>
      <c r="J792" s="1" t="s">
        <v>40</v>
      </c>
      <c r="K792" s="1" t="s">
        <v>14</v>
      </c>
      <c r="L792" s="1" t="s">
        <v>12</v>
      </c>
      <c r="M792" s="1" t="s">
        <v>12</v>
      </c>
      <c r="N792" s="1">
        <v>27.12</v>
      </c>
      <c r="O792" s="1" t="s">
        <v>15</v>
      </c>
      <c r="P792" s="1">
        <v>5.15</v>
      </c>
      <c r="Q792" s="1" t="s">
        <v>16</v>
      </c>
      <c r="R792" s="1" t="str">
        <f>IF(N792="","",VLOOKUP(N792,Prior_levels,2,TRUE))</f>
        <v>M</v>
      </c>
    </row>
    <row r="793" spans="1:18" x14ac:dyDescent="0.2">
      <c r="A793" s="1" t="s">
        <v>106</v>
      </c>
      <c r="B793" s="1" t="s">
        <v>12</v>
      </c>
      <c r="C793" s="2">
        <v>41155</v>
      </c>
      <c r="D793" s="1">
        <v>10</v>
      </c>
      <c r="E793" s="1" t="s">
        <v>34</v>
      </c>
      <c r="I793" s="1" t="s">
        <v>12</v>
      </c>
      <c r="J793" s="1" t="s">
        <v>40</v>
      </c>
      <c r="K793" s="1" t="s">
        <v>14</v>
      </c>
      <c r="L793" s="1" t="s">
        <v>12</v>
      </c>
      <c r="M793" s="1" t="s">
        <v>12</v>
      </c>
      <c r="N793" s="1">
        <v>27.12</v>
      </c>
      <c r="O793" s="1" t="s">
        <v>17</v>
      </c>
      <c r="P793" s="1">
        <v>0.6</v>
      </c>
      <c r="Q793" s="1" t="s">
        <v>16</v>
      </c>
      <c r="R793" s="1" t="str">
        <f>IF(N793="","",VLOOKUP(N793,Prior_levels,2,TRUE))</f>
        <v>M</v>
      </c>
    </row>
    <row r="794" spans="1:18" x14ac:dyDescent="0.2">
      <c r="A794" s="1" t="s">
        <v>106</v>
      </c>
      <c r="B794" s="1" t="s">
        <v>12</v>
      </c>
      <c r="C794" s="2">
        <v>41155</v>
      </c>
      <c r="D794" s="1">
        <v>10</v>
      </c>
      <c r="E794" s="1" t="s">
        <v>34</v>
      </c>
      <c r="I794" s="1" t="s">
        <v>12</v>
      </c>
      <c r="J794" s="1" t="s">
        <v>40</v>
      </c>
      <c r="K794" s="1" t="s">
        <v>14</v>
      </c>
      <c r="L794" s="1" t="s">
        <v>12</v>
      </c>
      <c r="M794" s="1" t="s">
        <v>12</v>
      </c>
      <c r="N794" s="1">
        <v>27.12</v>
      </c>
      <c r="O794" s="1" t="s">
        <v>18</v>
      </c>
      <c r="P794" s="1">
        <v>10</v>
      </c>
      <c r="Q794" s="1" t="s">
        <v>16</v>
      </c>
      <c r="R794" s="1" t="str">
        <f>IF(N794="","",VLOOKUP(N794,Prior_levels,2,TRUE))</f>
        <v>M</v>
      </c>
    </row>
    <row r="795" spans="1:18" x14ac:dyDescent="0.2">
      <c r="A795" s="1" t="s">
        <v>106</v>
      </c>
      <c r="B795" s="1" t="s">
        <v>12</v>
      </c>
      <c r="C795" s="2">
        <v>41155</v>
      </c>
      <c r="D795" s="1">
        <v>10</v>
      </c>
      <c r="E795" s="1" t="s">
        <v>34</v>
      </c>
      <c r="I795" s="1" t="s">
        <v>12</v>
      </c>
      <c r="J795" s="1" t="s">
        <v>40</v>
      </c>
      <c r="K795" s="1" t="s">
        <v>14</v>
      </c>
      <c r="L795" s="1" t="s">
        <v>12</v>
      </c>
      <c r="M795" s="1" t="s">
        <v>12</v>
      </c>
      <c r="N795" s="1">
        <v>27.12</v>
      </c>
      <c r="O795" s="1" t="s">
        <v>19</v>
      </c>
      <c r="P795" s="1">
        <v>12</v>
      </c>
      <c r="Q795" s="1" t="s">
        <v>16</v>
      </c>
      <c r="R795" s="1" t="str">
        <f>IF(N795="","",VLOOKUP(N795,Prior_levels,2,TRUE))</f>
        <v>M</v>
      </c>
    </row>
    <row r="796" spans="1:18" x14ac:dyDescent="0.2">
      <c r="A796" s="1" t="s">
        <v>106</v>
      </c>
      <c r="B796" s="1" t="s">
        <v>12</v>
      </c>
      <c r="C796" s="2">
        <v>41155</v>
      </c>
      <c r="D796" s="1">
        <v>10</v>
      </c>
      <c r="E796" s="1" t="s">
        <v>34</v>
      </c>
      <c r="I796" s="1" t="s">
        <v>12</v>
      </c>
      <c r="J796" s="1" t="s">
        <v>40</v>
      </c>
      <c r="K796" s="1" t="s">
        <v>14</v>
      </c>
      <c r="L796" s="1" t="s">
        <v>12</v>
      </c>
      <c r="M796" s="1" t="s">
        <v>12</v>
      </c>
      <c r="N796" s="1">
        <v>27.12</v>
      </c>
      <c r="O796" s="1" t="s">
        <v>20</v>
      </c>
      <c r="P796" s="1">
        <v>15</v>
      </c>
      <c r="Q796" s="1" t="s">
        <v>16</v>
      </c>
      <c r="R796" s="1" t="str">
        <f>IF(N796="","",VLOOKUP(N796,Prior_levels,2,TRUE))</f>
        <v>M</v>
      </c>
    </row>
    <row r="797" spans="1:18" x14ac:dyDescent="0.2">
      <c r="A797" s="1" t="s">
        <v>106</v>
      </c>
      <c r="B797" s="1" t="s">
        <v>12</v>
      </c>
      <c r="C797" s="2">
        <v>41155</v>
      </c>
      <c r="D797" s="1">
        <v>10</v>
      </c>
      <c r="E797" s="1" t="s">
        <v>34</v>
      </c>
      <c r="I797" s="1" t="s">
        <v>12</v>
      </c>
      <c r="J797" s="1" t="s">
        <v>40</v>
      </c>
      <c r="K797" s="1" t="s">
        <v>14</v>
      </c>
      <c r="L797" s="1" t="s">
        <v>12</v>
      </c>
      <c r="M797" s="1" t="s">
        <v>12</v>
      </c>
      <c r="N797" s="1">
        <v>27.12</v>
      </c>
      <c r="O797" s="1" t="s">
        <v>21</v>
      </c>
      <c r="P797" s="1">
        <v>14.5</v>
      </c>
      <c r="Q797" s="1" t="s">
        <v>16</v>
      </c>
      <c r="R797" s="1" t="str">
        <f>IF(N797="","",VLOOKUP(N797,Prior_levels,2,TRUE))</f>
        <v>M</v>
      </c>
    </row>
    <row r="798" spans="1:18" x14ac:dyDescent="0.2">
      <c r="A798" s="1" t="s">
        <v>106</v>
      </c>
      <c r="B798" s="1" t="s">
        <v>12</v>
      </c>
      <c r="C798" s="2">
        <v>41155</v>
      </c>
      <c r="D798" s="1">
        <v>10</v>
      </c>
      <c r="E798" s="1" t="s">
        <v>34</v>
      </c>
      <c r="I798" s="1" t="s">
        <v>12</v>
      </c>
      <c r="J798" s="1" t="s">
        <v>40</v>
      </c>
      <c r="K798" s="1" t="s">
        <v>14</v>
      </c>
      <c r="L798" s="1" t="s">
        <v>12</v>
      </c>
      <c r="M798" s="1" t="s">
        <v>12</v>
      </c>
      <c r="N798" s="1">
        <v>27.12</v>
      </c>
      <c r="O798" s="1" t="s">
        <v>22</v>
      </c>
      <c r="P798" s="1">
        <v>-0.05</v>
      </c>
      <c r="Q798" s="1" t="s">
        <v>16</v>
      </c>
      <c r="R798" s="1" t="str">
        <f>IF(N798="","",VLOOKUP(N798,Prior_levels,2,TRUE))</f>
        <v>M</v>
      </c>
    </row>
    <row r="799" spans="1:18" x14ac:dyDescent="0.2">
      <c r="A799" s="1" t="s">
        <v>106</v>
      </c>
      <c r="B799" s="1" t="s">
        <v>12</v>
      </c>
      <c r="C799" s="2">
        <v>41155</v>
      </c>
      <c r="D799" s="1">
        <v>10</v>
      </c>
      <c r="E799" s="1" t="s">
        <v>34</v>
      </c>
      <c r="I799" s="1" t="s">
        <v>12</v>
      </c>
      <c r="J799" s="1" t="s">
        <v>40</v>
      </c>
      <c r="K799" s="1" t="s">
        <v>14</v>
      </c>
      <c r="L799" s="1" t="s">
        <v>12</v>
      </c>
      <c r="M799" s="1" t="s">
        <v>12</v>
      </c>
      <c r="N799" s="1">
        <v>27.12</v>
      </c>
      <c r="O799" s="1" t="s">
        <v>23</v>
      </c>
      <c r="P799" s="1">
        <v>1.36</v>
      </c>
      <c r="Q799" s="1" t="s">
        <v>16</v>
      </c>
      <c r="R799" s="1" t="str">
        <f>IF(N799="","",VLOOKUP(N799,Prior_levels,2,TRUE))</f>
        <v>M</v>
      </c>
    </row>
    <row r="800" spans="1:18" x14ac:dyDescent="0.2">
      <c r="A800" s="1" t="s">
        <v>106</v>
      </c>
      <c r="B800" s="1" t="s">
        <v>12</v>
      </c>
      <c r="C800" s="2">
        <v>41155</v>
      </c>
      <c r="D800" s="1">
        <v>10</v>
      </c>
      <c r="E800" s="1" t="s">
        <v>34</v>
      </c>
      <c r="I800" s="1" t="s">
        <v>12</v>
      </c>
      <c r="J800" s="1" t="s">
        <v>40</v>
      </c>
      <c r="K800" s="1" t="s">
        <v>14</v>
      </c>
      <c r="L800" s="1" t="s">
        <v>12</v>
      </c>
      <c r="M800" s="1" t="s">
        <v>12</v>
      </c>
      <c r="N800" s="1">
        <v>27.12</v>
      </c>
      <c r="O800" s="1" t="s">
        <v>25</v>
      </c>
      <c r="P800" s="1">
        <v>-0.39</v>
      </c>
      <c r="Q800" s="1" t="s">
        <v>16</v>
      </c>
      <c r="R800" s="1" t="str">
        <f>IF(N800="","",VLOOKUP(N800,Prior_levels,2,TRUE))</f>
        <v>M</v>
      </c>
    </row>
    <row r="801" spans="1:18" x14ac:dyDescent="0.2">
      <c r="A801" s="1" t="s">
        <v>106</v>
      </c>
      <c r="B801" s="1" t="s">
        <v>12</v>
      </c>
      <c r="C801" s="2">
        <v>41155</v>
      </c>
      <c r="D801" s="1">
        <v>10</v>
      </c>
      <c r="E801" s="1" t="s">
        <v>34</v>
      </c>
      <c r="I801" s="1" t="s">
        <v>12</v>
      </c>
      <c r="J801" s="1" t="s">
        <v>40</v>
      </c>
      <c r="K801" s="1" t="s">
        <v>14</v>
      </c>
      <c r="L801" s="1" t="s">
        <v>12</v>
      </c>
      <c r="M801" s="1" t="s">
        <v>12</v>
      </c>
      <c r="N801" s="1">
        <v>27.12</v>
      </c>
      <c r="O801" s="1" t="s">
        <v>26</v>
      </c>
      <c r="P801" s="1">
        <v>9</v>
      </c>
      <c r="Q801" s="1" t="s">
        <v>16</v>
      </c>
      <c r="R801" s="1" t="str">
        <f>IF(N801="","",VLOOKUP(N801,Prior_levels,2,TRUE))</f>
        <v>M</v>
      </c>
    </row>
    <row r="802" spans="1:18" x14ac:dyDescent="0.2">
      <c r="A802" s="1" t="s">
        <v>106</v>
      </c>
      <c r="B802" s="1" t="s">
        <v>12</v>
      </c>
      <c r="C802" s="2">
        <v>41155</v>
      </c>
      <c r="D802" s="1">
        <v>10</v>
      </c>
      <c r="E802" s="1" t="s">
        <v>34</v>
      </c>
      <c r="I802" s="1" t="s">
        <v>12</v>
      </c>
      <c r="J802" s="1" t="s">
        <v>40</v>
      </c>
      <c r="K802" s="1" t="s">
        <v>14</v>
      </c>
      <c r="L802" s="1" t="s">
        <v>12</v>
      </c>
      <c r="M802" s="1" t="s">
        <v>12</v>
      </c>
      <c r="N802" s="1">
        <v>27.12</v>
      </c>
      <c r="O802" s="1" t="s">
        <v>24</v>
      </c>
      <c r="P802" s="1">
        <v>3.75</v>
      </c>
      <c r="Q802" s="1" t="s">
        <v>16</v>
      </c>
      <c r="R802" s="1" t="str">
        <f>IF(N802="","",VLOOKUP(N802,Prior_levels,2,TRUE))</f>
        <v>M</v>
      </c>
    </row>
    <row r="803" spans="1:18" x14ac:dyDescent="0.2">
      <c r="A803" s="1" t="s">
        <v>106</v>
      </c>
      <c r="B803" s="1" t="s">
        <v>12</v>
      </c>
      <c r="C803" s="2">
        <v>41155</v>
      </c>
      <c r="D803" s="1">
        <v>10</v>
      </c>
      <c r="E803" s="1" t="s">
        <v>34</v>
      </c>
      <c r="I803" s="1" t="s">
        <v>12</v>
      </c>
      <c r="J803" s="1" t="s">
        <v>40</v>
      </c>
      <c r="K803" s="1" t="s">
        <v>14</v>
      </c>
      <c r="L803" s="1" t="s">
        <v>12</v>
      </c>
      <c r="M803" s="1" t="s">
        <v>12</v>
      </c>
      <c r="N803" s="1">
        <v>27.12</v>
      </c>
      <c r="O803" s="1" t="s">
        <v>27</v>
      </c>
      <c r="P803" s="1" t="s">
        <v>37</v>
      </c>
      <c r="Q803" s="1" t="s">
        <v>16</v>
      </c>
      <c r="R803" s="1" t="str">
        <f>IF(N803="","",VLOOKUP(N803,Prior_levels,2,TRUE))</f>
        <v>M</v>
      </c>
    </row>
    <row r="804" spans="1:18" x14ac:dyDescent="0.2">
      <c r="A804" s="1" t="s">
        <v>106</v>
      </c>
      <c r="B804" s="1" t="s">
        <v>12</v>
      </c>
      <c r="C804" s="2">
        <v>41155</v>
      </c>
      <c r="D804" s="1">
        <v>10</v>
      </c>
      <c r="E804" s="1" t="s">
        <v>34</v>
      </c>
      <c r="I804" s="1" t="s">
        <v>12</v>
      </c>
      <c r="J804" s="1" t="s">
        <v>40</v>
      </c>
      <c r="K804" s="1" t="s">
        <v>14</v>
      </c>
      <c r="L804" s="1" t="s">
        <v>12</v>
      </c>
      <c r="M804" s="1" t="s">
        <v>12</v>
      </c>
      <c r="N804" s="1">
        <v>27.12</v>
      </c>
      <c r="O804" s="1" t="s">
        <v>29</v>
      </c>
      <c r="P804" s="1" t="s">
        <v>37</v>
      </c>
      <c r="Q804" s="1" t="s">
        <v>16</v>
      </c>
      <c r="R804" s="1" t="str">
        <f>IF(N804="","",VLOOKUP(N804,Prior_levels,2,TRUE))</f>
        <v>M</v>
      </c>
    </row>
    <row r="805" spans="1:18" x14ac:dyDescent="0.2">
      <c r="A805" s="1" t="s">
        <v>106</v>
      </c>
      <c r="B805" s="1" t="s">
        <v>12</v>
      </c>
      <c r="C805" s="2">
        <v>41155</v>
      </c>
      <c r="D805" s="1">
        <v>10</v>
      </c>
      <c r="E805" s="1" t="s">
        <v>34</v>
      </c>
      <c r="I805" s="1" t="s">
        <v>12</v>
      </c>
      <c r="J805" s="1" t="s">
        <v>40</v>
      </c>
      <c r="K805" s="1" t="s">
        <v>14</v>
      </c>
      <c r="L805" s="1" t="s">
        <v>12</v>
      </c>
      <c r="M805" s="1" t="s">
        <v>12</v>
      </c>
      <c r="N805" s="1">
        <v>27.12</v>
      </c>
      <c r="O805" s="1" t="s">
        <v>30</v>
      </c>
      <c r="P805" s="1" t="s">
        <v>37</v>
      </c>
      <c r="Q805" s="1" t="s">
        <v>16</v>
      </c>
      <c r="R805" s="1" t="str">
        <f>IF(N805="","",VLOOKUP(N805,Prior_levels,2,TRUE))</f>
        <v>M</v>
      </c>
    </row>
    <row r="806" spans="1:18" x14ac:dyDescent="0.2">
      <c r="A806" s="1" t="s">
        <v>106</v>
      </c>
      <c r="B806" s="1" t="s">
        <v>12</v>
      </c>
      <c r="C806" s="2">
        <v>41155</v>
      </c>
      <c r="D806" s="1">
        <v>10</v>
      </c>
      <c r="E806" s="1" t="s">
        <v>34</v>
      </c>
      <c r="I806" s="1" t="s">
        <v>12</v>
      </c>
      <c r="J806" s="1" t="s">
        <v>40</v>
      </c>
      <c r="K806" s="1" t="s">
        <v>14</v>
      </c>
      <c r="L806" s="1" t="s">
        <v>12</v>
      </c>
      <c r="M806" s="1" t="s">
        <v>12</v>
      </c>
      <c r="N806" s="1">
        <v>27.12</v>
      </c>
      <c r="O806" s="1" t="s">
        <v>31</v>
      </c>
      <c r="P806" s="1" t="s">
        <v>37</v>
      </c>
      <c r="Q806" s="1" t="s">
        <v>16</v>
      </c>
      <c r="R806" s="1" t="str">
        <f>IF(N806="","",VLOOKUP(N806,Prior_levels,2,TRUE))</f>
        <v>M</v>
      </c>
    </row>
    <row r="807" spans="1:18" x14ac:dyDescent="0.2">
      <c r="A807" s="1" t="s">
        <v>106</v>
      </c>
      <c r="B807" s="1" t="s">
        <v>12</v>
      </c>
      <c r="C807" s="2">
        <v>41155</v>
      </c>
      <c r="D807" s="1">
        <v>10</v>
      </c>
      <c r="E807" s="1" t="s">
        <v>34</v>
      </c>
      <c r="I807" s="1" t="s">
        <v>12</v>
      </c>
      <c r="J807" s="1" t="s">
        <v>40</v>
      </c>
      <c r="K807" s="1" t="s">
        <v>14</v>
      </c>
      <c r="L807" s="1" t="s">
        <v>12</v>
      </c>
      <c r="M807" s="1" t="s">
        <v>12</v>
      </c>
      <c r="N807" s="1">
        <v>27.12</v>
      </c>
      <c r="O807" s="1" t="s">
        <v>32</v>
      </c>
      <c r="P807" s="1" t="s">
        <v>37</v>
      </c>
      <c r="Q807" s="1" t="s">
        <v>16</v>
      </c>
      <c r="R807" s="1" t="str">
        <f>IF(N807="","",VLOOKUP(N807,Prior_levels,2,TRUE))</f>
        <v>M</v>
      </c>
    </row>
    <row r="808" spans="1:18" x14ac:dyDescent="0.2">
      <c r="A808" s="1" t="s">
        <v>107</v>
      </c>
      <c r="B808" s="1" t="s">
        <v>12</v>
      </c>
      <c r="C808" s="2">
        <v>41155</v>
      </c>
      <c r="D808" s="1">
        <v>10</v>
      </c>
      <c r="E808" s="1" t="s">
        <v>11</v>
      </c>
      <c r="I808" s="1" t="s">
        <v>12</v>
      </c>
      <c r="J808" s="1" t="s">
        <v>40</v>
      </c>
      <c r="K808" s="1" t="s">
        <v>14</v>
      </c>
      <c r="L808" s="1" t="s">
        <v>12</v>
      </c>
      <c r="M808" s="1" t="s">
        <v>12</v>
      </c>
      <c r="N808" s="1">
        <v>27.12</v>
      </c>
      <c r="O808" s="1" t="s">
        <v>15</v>
      </c>
      <c r="P808" s="1">
        <v>4.5</v>
      </c>
      <c r="Q808" s="1" t="s">
        <v>16</v>
      </c>
      <c r="R808" s="1" t="str">
        <f>IF(N808="","",VLOOKUP(N808,Prior_levels,2,TRUE))</f>
        <v>M</v>
      </c>
    </row>
    <row r="809" spans="1:18" x14ac:dyDescent="0.2">
      <c r="A809" s="1" t="s">
        <v>107</v>
      </c>
      <c r="B809" s="1" t="s">
        <v>12</v>
      </c>
      <c r="C809" s="2">
        <v>41155</v>
      </c>
      <c r="D809" s="1">
        <v>10</v>
      </c>
      <c r="E809" s="1" t="s">
        <v>11</v>
      </c>
      <c r="I809" s="1" t="s">
        <v>12</v>
      </c>
      <c r="J809" s="1" t="s">
        <v>40</v>
      </c>
      <c r="K809" s="1" t="s">
        <v>14</v>
      </c>
      <c r="L809" s="1" t="s">
        <v>12</v>
      </c>
      <c r="M809" s="1" t="s">
        <v>12</v>
      </c>
      <c r="N809" s="1">
        <v>27.12</v>
      </c>
      <c r="O809" s="1" t="s">
        <v>17</v>
      </c>
      <c r="P809" s="1">
        <v>-0.05</v>
      </c>
      <c r="Q809" s="1" t="s">
        <v>16</v>
      </c>
      <c r="R809" s="1" t="str">
        <f>IF(N809="","",VLOOKUP(N809,Prior_levels,2,TRUE))</f>
        <v>M</v>
      </c>
    </row>
    <row r="810" spans="1:18" x14ac:dyDescent="0.2">
      <c r="A810" s="1" t="s">
        <v>107</v>
      </c>
      <c r="B810" s="1" t="s">
        <v>12</v>
      </c>
      <c r="C810" s="2">
        <v>41155</v>
      </c>
      <c r="D810" s="1">
        <v>10</v>
      </c>
      <c r="E810" s="1" t="s">
        <v>11</v>
      </c>
      <c r="I810" s="1" t="s">
        <v>12</v>
      </c>
      <c r="J810" s="1" t="s">
        <v>40</v>
      </c>
      <c r="K810" s="1" t="s">
        <v>14</v>
      </c>
      <c r="L810" s="1" t="s">
        <v>12</v>
      </c>
      <c r="M810" s="1" t="s">
        <v>12</v>
      </c>
      <c r="N810" s="1">
        <v>27.12</v>
      </c>
      <c r="O810" s="1" t="s">
        <v>18</v>
      </c>
      <c r="P810" s="1">
        <v>10</v>
      </c>
      <c r="Q810" s="1" t="s">
        <v>16</v>
      </c>
      <c r="R810" s="1" t="str">
        <f>IF(N810="","",VLOOKUP(N810,Prior_levels,2,TRUE))</f>
        <v>M</v>
      </c>
    </row>
    <row r="811" spans="1:18" x14ac:dyDescent="0.2">
      <c r="A811" s="1" t="s">
        <v>107</v>
      </c>
      <c r="B811" s="1" t="s">
        <v>12</v>
      </c>
      <c r="C811" s="2">
        <v>41155</v>
      </c>
      <c r="D811" s="1">
        <v>10</v>
      </c>
      <c r="E811" s="1" t="s">
        <v>11</v>
      </c>
      <c r="I811" s="1" t="s">
        <v>12</v>
      </c>
      <c r="J811" s="1" t="s">
        <v>40</v>
      </c>
      <c r="K811" s="1" t="s">
        <v>14</v>
      </c>
      <c r="L811" s="1" t="s">
        <v>12</v>
      </c>
      <c r="M811" s="1" t="s">
        <v>12</v>
      </c>
      <c r="N811" s="1">
        <v>27.12</v>
      </c>
      <c r="O811" s="1" t="s">
        <v>19</v>
      </c>
      <c r="P811" s="1">
        <v>10</v>
      </c>
      <c r="Q811" s="1" t="s">
        <v>16</v>
      </c>
      <c r="R811" s="1" t="str">
        <f>IF(N811="","",VLOOKUP(N811,Prior_levels,2,TRUE))</f>
        <v>M</v>
      </c>
    </row>
    <row r="812" spans="1:18" x14ac:dyDescent="0.2">
      <c r="A812" s="1" t="s">
        <v>107</v>
      </c>
      <c r="B812" s="1" t="s">
        <v>12</v>
      </c>
      <c r="C812" s="2">
        <v>41155</v>
      </c>
      <c r="D812" s="1">
        <v>10</v>
      </c>
      <c r="E812" s="1" t="s">
        <v>11</v>
      </c>
      <c r="I812" s="1" t="s">
        <v>12</v>
      </c>
      <c r="J812" s="1" t="s">
        <v>40</v>
      </c>
      <c r="K812" s="1" t="s">
        <v>14</v>
      </c>
      <c r="L812" s="1" t="s">
        <v>12</v>
      </c>
      <c r="M812" s="1" t="s">
        <v>12</v>
      </c>
      <c r="N812" s="1">
        <v>27.12</v>
      </c>
      <c r="O812" s="1" t="s">
        <v>20</v>
      </c>
      <c r="P812" s="1">
        <v>12</v>
      </c>
      <c r="Q812" s="1" t="s">
        <v>16</v>
      </c>
      <c r="R812" s="1" t="str">
        <f>IF(N812="","",VLOOKUP(N812,Prior_levels,2,TRUE))</f>
        <v>M</v>
      </c>
    </row>
    <row r="813" spans="1:18" x14ac:dyDescent="0.2">
      <c r="A813" s="1" t="s">
        <v>107</v>
      </c>
      <c r="B813" s="1" t="s">
        <v>12</v>
      </c>
      <c r="C813" s="2">
        <v>41155</v>
      </c>
      <c r="D813" s="1">
        <v>10</v>
      </c>
      <c r="E813" s="1" t="s">
        <v>11</v>
      </c>
      <c r="I813" s="1" t="s">
        <v>12</v>
      </c>
      <c r="J813" s="1" t="s">
        <v>40</v>
      </c>
      <c r="K813" s="1" t="s">
        <v>14</v>
      </c>
      <c r="L813" s="1" t="s">
        <v>12</v>
      </c>
      <c r="M813" s="1" t="s">
        <v>12</v>
      </c>
      <c r="N813" s="1">
        <v>27.12</v>
      </c>
      <c r="O813" s="1" t="s">
        <v>21</v>
      </c>
      <c r="P813" s="1">
        <v>13</v>
      </c>
      <c r="Q813" s="1" t="s">
        <v>16</v>
      </c>
      <c r="R813" s="1" t="str">
        <f>IF(N813="","",VLOOKUP(N813,Prior_levels,2,TRUE))</f>
        <v>M</v>
      </c>
    </row>
    <row r="814" spans="1:18" x14ac:dyDescent="0.2">
      <c r="A814" s="1" t="s">
        <v>107</v>
      </c>
      <c r="B814" s="1" t="s">
        <v>12</v>
      </c>
      <c r="C814" s="2">
        <v>41155</v>
      </c>
      <c r="D814" s="1">
        <v>10</v>
      </c>
      <c r="E814" s="1" t="s">
        <v>11</v>
      </c>
      <c r="I814" s="1" t="s">
        <v>12</v>
      </c>
      <c r="J814" s="1" t="s">
        <v>40</v>
      </c>
      <c r="K814" s="1" t="s">
        <v>14</v>
      </c>
      <c r="L814" s="1" t="s">
        <v>12</v>
      </c>
      <c r="M814" s="1" t="s">
        <v>12</v>
      </c>
      <c r="N814" s="1">
        <v>27.12</v>
      </c>
      <c r="O814" s="1" t="s">
        <v>22</v>
      </c>
      <c r="P814" s="1">
        <v>-0.05</v>
      </c>
      <c r="Q814" s="1" t="s">
        <v>16</v>
      </c>
      <c r="R814" s="1" t="str">
        <f>IF(N814="","",VLOOKUP(N814,Prior_levels,2,TRUE))</f>
        <v>M</v>
      </c>
    </row>
    <row r="815" spans="1:18" x14ac:dyDescent="0.2">
      <c r="A815" s="1" t="s">
        <v>107</v>
      </c>
      <c r="B815" s="1" t="s">
        <v>12</v>
      </c>
      <c r="C815" s="2">
        <v>41155</v>
      </c>
      <c r="D815" s="1">
        <v>10</v>
      </c>
      <c r="E815" s="1" t="s">
        <v>11</v>
      </c>
      <c r="I815" s="1" t="s">
        <v>12</v>
      </c>
      <c r="J815" s="1" t="s">
        <v>40</v>
      </c>
      <c r="K815" s="1" t="s">
        <v>14</v>
      </c>
      <c r="L815" s="1" t="s">
        <v>12</v>
      </c>
      <c r="M815" s="1" t="s">
        <v>12</v>
      </c>
      <c r="N815" s="1">
        <v>27.12</v>
      </c>
      <c r="O815" s="1" t="s">
        <v>23</v>
      </c>
      <c r="P815" s="1">
        <v>0.36</v>
      </c>
      <c r="Q815" s="1" t="s">
        <v>16</v>
      </c>
      <c r="R815" s="1" t="str">
        <f>IF(N815="","",VLOOKUP(N815,Prior_levels,2,TRUE))</f>
        <v>M</v>
      </c>
    </row>
    <row r="816" spans="1:18" x14ac:dyDescent="0.2">
      <c r="A816" s="1" t="s">
        <v>107</v>
      </c>
      <c r="B816" s="1" t="s">
        <v>12</v>
      </c>
      <c r="C816" s="2">
        <v>41155</v>
      </c>
      <c r="D816" s="1">
        <v>10</v>
      </c>
      <c r="E816" s="1" t="s">
        <v>11</v>
      </c>
      <c r="I816" s="1" t="s">
        <v>12</v>
      </c>
      <c r="J816" s="1" t="s">
        <v>40</v>
      </c>
      <c r="K816" s="1" t="s">
        <v>14</v>
      </c>
      <c r="L816" s="1" t="s">
        <v>12</v>
      </c>
      <c r="M816" s="1" t="s">
        <v>12</v>
      </c>
      <c r="N816" s="1">
        <v>27.12</v>
      </c>
      <c r="O816" s="1" t="s">
        <v>24</v>
      </c>
      <c r="P816" s="1">
        <v>0.75</v>
      </c>
      <c r="Q816" s="1" t="s">
        <v>16</v>
      </c>
      <c r="R816" s="1" t="str">
        <f>IF(N816="","",VLOOKUP(N816,Prior_levels,2,TRUE))</f>
        <v>M</v>
      </c>
    </row>
    <row r="817" spans="1:18" x14ac:dyDescent="0.2">
      <c r="A817" s="1" t="s">
        <v>107</v>
      </c>
      <c r="B817" s="1" t="s">
        <v>12</v>
      </c>
      <c r="C817" s="2">
        <v>41155</v>
      </c>
      <c r="D817" s="1">
        <v>10</v>
      </c>
      <c r="E817" s="1" t="s">
        <v>11</v>
      </c>
      <c r="I817" s="1" t="s">
        <v>12</v>
      </c>
      <c r="J817" s="1" t="s">
        <v>40</v>
      </c>
      <c r="K817" s="1" t="s">
        <v>14</v>
      </c>
      <c r="L817" s="1" t="s">
        <v>12</v>
      </c>
      <c r="M817" s="1" t="s">
        <v>12</v>
      </c>
      <c r="N817" s="1">
        <v>27.12</v>
      </c>
      <c r="O817" s="1" t="s">
        <v>25</v>
      </c>
      <c r="P817" s="1">
        <v>-1.89</v>
      </c>
      <c r="Q817" s="1" t="s">
        <v>16</v>
      </c>
      <c r="R817" s="1" t="str">
        <f>IF(N817="","",VLOOKUP(N817,Prior_levels,2,TRUE))</f>
        <v>M</v>
      </c>
    </row>
    <row r="818" spans="1:18" x14ac:dyDescent="0.2">
      <c r="A818" s="1" t="s">
        <v>107</v>
      </c>
      <c r="B818" s="1" t="s">
        <v>12</v>
      </c>
      <c r="C818" s="2">
        <v>41155</v>
      </c>
      <c r="D818" s="1">
        <v>10</v>
      </c>
      <c r="E818" s="1" t="s">
        <v>11</v>
      </c>
      <c r="I818" s="1" t="s">
        <v>12</v>
      </c>
      <c r="J818" s="1" t="s">
        <v>40</v>
      </c>
      <c r="K818" s="1" t="s">
        <v>14</v>
      </c>
      <c r="L818" s="1" t="s">
        <v>12</v>
      </c>
      <c r="M818" s="1" t="s">
        <v>12</v>
      </c>
      <c r="N818" s="1">
        <v>27.12</v>
      </c>
      <c r="O818" s="1" t="s">
        <v>26</v>
      </c>
      <c r="P818" s="1">
        <v>11</v>
      </c>
      <c r="Q818" s="1" t="s">
        <v>16</v>
      </c>
      <c r="R818" s="1" t="str">
        <f>IF(N818="","",VLOOKUP(N818,Prior_levels,2,TRUE))</f>
        <v>M</v>
      </c>
    </row>
    <row r="819" spans="1:18" x14ac:dyDescent="0.2">
      <c r="A819" s="1" t="s">
        <v>107</v>
      </c>
      <c r="B819" s="1" t="s">
        <v>12</v>
      </c>
      <c r="C819" s="2">
        <v>41155</v>
      </c>
      <c r="D819" s="1">
        <v>10</v>
      </c>
      <c r="E819" s="1" t="s">
        <v>11</v>
      </c>
      <c r="I819" s="1" t="s">
        <v>12</v>
      </c>
      <c r="J819" s="1" t="s">
        <v>40</v>
      </c>
      <c r="K819" s="1" t="s">
        <v>14</v>
      </c>
      <c r="L819" s="1" t="s">
        <v>12</v>
      </c>
      <c r="M819" s="1" t="s">
        <v>12</v>
      </c>
      <c r="N819" s="1">
        <v>27.12</v>
      </c>
      <c r="O819" s="1" t="s">
        <v>27</v>
      </c>
      <c r="P819" s="1" t="s">
        <v>37</v>
      </c>
      <c r="Q819" s="1" t="s">
        <v>16</v>
      </c>
      <c r="R819" s="1" t="str">
        <f>IF(N819="","",VLOOKUP(N819,Prior_levels,2,TRUE))</f>
        <v>M</v>
      </c>
    </row>
    <row r="820" spans="1:18" x14ac:dyDescent="0.2">
      <c r="A820" s="1" t="s">
        <v>107</v>
      </c>
      <c r="B820" s="1" t="s">
        <v>12</v>
      </c>
      <c r="C820" s="2">
        <v>41155</v>
      </c>
      <c r="D820" s="1">
        <v>10</v>
      </c>
      <c r="E820" s="1" t="s">
        <v>11</v>
      </c>
      <c r="I820" s="1" t="s">
        <v>12</v>
      </c>
      <c r="J820" s="1" t="s">
        <v>40</v>
      </c>
      <c r="K820" s="1" t="s">
        <v>14</v>
      </c>
      <c r="L820" s="1" t="s">
        <v>12</v>
      </c>
      <c r="M820" s="1" t="s">
        <v>12</v>
      </c>
      <c r="N820" s="1">
        <v>27.12</v>
      </c>
      <c r="O820" s="1" t="s">
        <v>29</v>
      </c>
      <c r="P820" s="1" t="s">
        <v>37</v>
      </c>
      <c r="Q820" s="1" t="s">
        <v>16</v>
      </c>
      <c r="R820" s="1" t="str">
        <f>IF(N820="","",VLOOKUP(N820,Prior_levels,2,TRUE))</f>
        <v>M</v>
      </c>
    </row>
    <row r="821" spans="1:18" x14ac:dyDescent="0.2">
      <c r="A821" s="1" t="s">
        <v>107</v>
      </c>
      <c r="B821" s="1" t="s">
        <v>12</v>
      </c>
      <c r="C821" s="2">
        <v>41155</v>
      </c>
      <c r="D821" s="1">
        <v>10</v>
      </c>
      <c r="E821" s="1" t="s">
        <v>11</v>
      </c>
      <c r="I821" s="1" t="s">
        <v>12</v>
      </c>
      <c r="J821" s="1" t="s">
        <v>40</v>
      </c>
      <c r="K821" s="1" t="s">
        <v>14</v>
      </c>
      <c r="L821" s="1" t="s">
        <v>12</v>
      </c>
      <c r="M821" s="1" t="s">
        <v>12</v>
      </c>
      <c r="N821" s="1">
        <v>27.12</v>
      </c>
      <c r="O821" s="1" t="s">
        <v>30</v>
      </c>
      <c r="P821" s="1" t="s">
        <v>37</v>
      </c>
      <c r="Q821" s="1" t="s">
        <v>16</v>
      </c>
      <c r="R821" s="1" t="str">
        <f>IF(N821="","",VLOOKUP(N821,Prior_levels,2,TRUE))</f>
        <v>M</v>
      </c>
    </row>
    <row r="822" spans="1:18" x14ac:dyDescent="0.2">
      <c r="A822" s="1" t="s">
        <v>107</v>
      </c>
      <c r="B822" s="1" t="s">
        <v>12</v>
      </c>
      <c r="C822" s="2">
        <v>41155</v>
      </c>
      <c r="D822" s="1">
        <v>10</v>
      </c>
      <c r="E822" s="1" t="s">
        <v>11</v>
      </c>
      <c r="I822" s="1" t="s">
        <v>12</v>
      </c>
      <c r="J822" s="1" t="s">
        <v>40</v>
      </c>
      <c r="K822" s="1" t="s">
        <v>14</v>
      </c>
      <c r="L822" s="1" t="s">
        <v>12</v>
      </c>
      <c r="M822" s="1" t="s">
        <v>12</v>
      </c>
      <c r="N822" s="1">
        <v>27.12</v>
      </c>
      <c r="O822" s="1" t="s">
        <v>31</v>
      </c>
      <c r="P822" s="1" t="s">
        <v>37</v>
      </c>
      <c r="Q822" s="1" t="s">
        <v>16</v>
      </c>
      <c r="R822" s="1" t="str">
        <f>IF(N822="","",VLOOKUP(N822,Prior_levels,2,TRUE))</f>
        <v>M</v>
      </c>
    </row>
    <row r="823" spans="1:18" x14ac:dyDescent="0.2">
      <c r="A823" s="1" t="s">
        <v>107</v>
      </c>
      <c r="B823" s="1" t="s">
        <v>12</v>
      </c>
      <c r="C823" s="2">
        <v>41155</v>
      </c>
      <c r="D823" s="1">
        <v>10</v>
      </c>
      <c r="E823" s="1" t="s">
        <v>11</v>
      </c>
      <c r="I823" s="1" t="s">
        <v>12</v>
      </c>
      <c r="J823" s="1" t="s">
        <v>40</v>
      </c>
      <c r="K823" s="1" t="s">
        <v>14</v>
      </c>
      <c r="L823" s="1" t="s">
        <v>12</v>
      </c>
      <c r="M823" s="1" t="s">
        <v>12</v>
      </c>
      <c r="N823" s="1">
        <v>27.12</v>
      </c>
      <c r="O823" s="1" t="s">
        <v>32</v>
      </c>
      <c r="P823" s="1" t="s">
        <v>37</v>
      </c>
      <c r="Q823" s="1" t="s">
        <v>16</v>
      </c>
      <c r="R823" s="1" t="str">
        <f>IF(N823="","",VLOOKUP(N823,Prior_levels,2,TRUE))</f>
        <v>M</v>
      </c>
    </row>
    <row r="824" spans="1:18" x14ac:dyDescent="0.2">
      <c r="A824" s="1" t="s">
        <v>108</v>
      </c>
      <c r="B824" s="1" t="s">
        <v>12</v>
      </c>
      <c r="C824" s="2">
        <v>41155</v>
      </c>
      <c r="D824" s="1">
        <v>10</v>
      </c>
      <c r="E824" s="1" t="s">
        <v>42</v>
      </c>
      <c r="I824" s="1" t="s">
        <v>12</v>
      </c>
      <c r="J824" s="1" t="s">
        <v>86</v>
      </c>
      <c r="K824" s="1" t="s">
        <v>14</v>
      </c>
      <c r="L824" s="1" t="s">
        <v>12</v>
      </c>
      <c r="M824" s="1" t="s">
        <v>12</v>
      </c>
      <c r="N824" s="1">
        <v>21.12</v>
      </c>
      <c r="O824" s="1" t="s">
        <v>15</v>
      </c>
      <c r="P824" s="1">
        <v>3.1</v>
      </c>
      <c r="Q824" s="1" t="s">
        <v>16</v>
      </c>
      <c r="R824" s="1" t="str">
        <f>IF(N824="","",VLOOKUP(N824,Prior_levels,2,TRUE))</f>
        <v>L</v>
      </c>
    </row>
    <row r="825" spans="1:18" x14ac:dyDescent="0.2">
      <c r="A825" s="1" t="s">
        <v>108</v>
      </c>
      <c r="B825" s="1" t="s">
        <v>12</v>
      </c>
      <c r="C825" s="2">
        <v>41155</v>
      </c>
      <c r="D825" s="1">
        <v>10</v>
      </c>
      <c r="E825" s="1" t="s">
        <v>42</v>
      </c>
      <c r="I825" s="1" t="s">
        <v>12</v>
      </c>
      <c r="J825" s="1" t="s">
        <v>86</v>
      </c>
      <c r="K825" s="1" t="s">
        <v>14</v>
      </c>
      <c r="L825" s="1" t="s">
        <v>12</v>
      </c>
      <c r="M825" s="1" t="s">
        <v>12</v>
      </c>
      <c r="N825" s="1">
        <v>21.12</v>
      </c>
      <c r="O825" s="1" t="s">
        <v>17</v>
      </c>
      <c r="P825" s="1">
        <v>0.27</v>
      </c>
      <c r="Q825" s="1" t="s">
        <v>16</v>
      </c>
      <c r="R825" s="1" t="str">
        <f>IF(N825="","",VLOOKUP(N825,Prior_levels,2,TRUE))</f>
        <v>L</v>
      </c>
    </row>
    <row r="826" spans="1:18" x14ac:dyDescent="0.2">
      <c r="A826" s="1" t="s">
        <v>108</v>
      </c>
      <c r="B826" s="1" t="s">
        <v>12</v>
      </c>
      <c r="C826" s="2">
        <v>41155</v>
      </c>
      <c r="D826" s="1">
        <v>10</v>
      </c>
      <c r="E826" s="1" t="s">
        <v>42</v>
      </c>
      <c r="I826" s="1" t="s">
        <v>12</v>
      </c>
      <c r="J826" s="1" t="s">
        <v>86</v>
      </c>
      <c r="K826" s="1" t="s">
        <v>14</v>
      </c>
      <c r="L826" s="1" t="s">
        <v>12</v>
      </c>
      <c r="M826" s="1" t="s">
        <v>12</v>
      </c>
      <c r="N826" s="1">
        <v>21.12</v>
      </c>
      <c r="O826" s="1" t="s">
        <v>18</v>
      </c>
      <c r="P826" s="1">
        <v>8</v>
      </c>
      <c r="Q826" s="1" t="s">
        <v>16</v>
      </c>
      <c r="R826" s="1" t="str">
        <f>IF(N826="","",VLOOKUP(N826,Prior_levels,2,TRUE))</f>
        <v>L</v>
      </c>
    </row>
    <row r="827" spans="1:18" x14ac:dyDescent="0.2">
      <c r="A827" s="1" t="s">
        <v>108</v>
      </c>
      <c r="B827" s="1" t="s">
        <v>12</v>
      </c>
      <c r="C827" s="2">
        <v>41155</v>
      </c>
      <c r="D827" s="1">
        <v>10</v>
      </c>
      <c r="E827" s="1" t="s">
        <v>42</v>
      </c>
      <c r="I827" s="1" t="s">
        <v>12</v>
      </c>
      <c r="J827" s="1" t="s">
        <v>86</v>
      </c>
      <c r="K827" s="1" t="s">
        <v>14</v>
      </c>
      <c r="L827" s="1" t="s">
        <v>12</v>
      </c>
      <c r="M827" s="1" t="s">
        <v>12</v>
      </c>
      <c r="N827" s="1">
        <v>21.12</v>
      </c>
      <c r="O827" s="1" t="s">
        <v>19</v>
      </c>
      <c r="P827" s="1">
        <v>6</v>
      </c>
      <c r="Q827" s="1" t="s">
        <v>16</v>
      </c>
      <c r="R827" s="1" t="str">
        <f>IF(N827="","",VLOOKUP(N827,Prior_levels,2,TRUE))</f>
        <v>L</v>
      </c>
    </row>
    <row r="828" spans="1:18" x14ac:dyDescent="0.2">
      <c r="A828" s="1" t="s">
        <v>108</v>
      </c>
      <c r="B828" s="1" t="s">
        <v>12</v>
      </c>
      <c r="C828" s="2">
        <v>41155</v>
      </c>
      <c r="D828" s="1">
        <v>10</v>
      </c>
      <c r="E828" s="1" t="s">
        <v>42</v>
      </c>
      <c r="I828" s="1" t="s">
        <v>12</v>
      </c>
      <c r="J828" s="1" t="s">
        <v>86</v>
      </c>
      <c r="K828" s="1" t="s">
        <v>14</v>
      </c>
      <c r="L828" s="1" t="s">
        <v>12</v>
      </c>
      <c r="M828" s="1" t="s">
        <v>12</v>
      </c>
      <c r="N828" s="1">
        <v>21.12</v>
      </c>
      <c r="O828" s="1" t="s">
        <v>20</v>
      </c>
      <c r="P828" s="1">
        <v>8</v>
      </c>
      <c r="Q828" s="1" t="s">
        <v>16</v>
      </c>
      <c r="R828" s="1" t="str">
        <f>IF(N828="","",VLOOKUP(N828,Prior_levels,2,TRUE))</f>
        <v>L</v>
      </c>
    </row>
    <row r="829" spans="1:18" x14ac:dyDescent="0.2">
      <c r="A829" s="1" t="s">
        <v>108</v>
      </c>
      <c r="B829" s="1" t="s">
        <v>12</v>
      </c>
      <c r="C829" s="2">
        <v>41155</v>
      </c>
      <c r="D829" s="1">
        <v>10</v>
      </c>
      <c r="E829" s="1" t="s">
        <v>42</v>
      </c>
      <c r="I829" s="1" t="s">
        <v>12</v>
      </c>
      <c r="J829" s="1" t="s">
        <v>86</v>
      </c>
      <c r="K829" s="1" t="s">
        <v>14</v>
      </c>
      <c r="L829" s="1" t="s">
        <v>12</v>
      </c>
      <c r="M829" s="1" t="s">
        <v>12</v>
      </c>
      <c r="N829" s="1">
        <v>21.12</v>
      </c>
      <c r="O829" s="1" t="s">
        <v>21</v>
      </c>
      <c r="P829" s="1">
        <v>9</v>
      </c>
      <c r="Q829" s="1" t="s">
        <v>16</v>
      </c>
      <c r="R829" s="1" t="str">
        <f>IF(N829="","",VLOOKUP(N829,Prior_levels,2,TRUE))</f>
        <v>L</v>
      </c>
    </row>
    <row r="830" spans="1:18" x14ac:dyDescent="0.2">
      <c r="A830" s="1" t="s">
        <v>108</v>
      </c>
      <c r="B830" s="1" t="s">
        <v>12</v>
      </c>
      <c r="C830" s="2">
        <v>41155</v>
      </c>
      <c r="D830" s="1">
        <v>10</v>
      </c>
      <c r="E830" s="1" t="s">
        <v>42</v>
      </c>
      <c r="I830" s="1" t="s">
        <v>12</v>
      </c>
      <c r="J830" s="1" t="s">
        <v>86</v>
      </c>
      <c r="K830" s="1" t="s">
        <v>14</v>
      </c>
      <c r="L830" s="1" t="s">
        <v>12</v>
      </c>
      <c r="M830" s="1" t="s">
        <v>12</v>
      </c>
      <c r="N830" s="1">
        <v>21.12</v>
      </c>
      <c r="O830" s="1" t="s">
        <v>22</v>
      </c>
      <c r="P830" s="1">
        <v>0.34</v>
      </c>
      <c r="Q830" s="1" t="s">
        <v>16</v>
      </c>
      <c r="R830" s="1" t="str">
        <f>IF(N830="","",VLOOKUP(N830,Prior_levels,2,TRUE))</f>
        <v>L</v>
      </c>
    </row>
    <row r="831" spans="1:18" x14ac:dyDescent="0.2">
      <c r="A831" s="1" t="s">
        <v>108</v>
      </c>
      <c r="B831" s="1" t="s">
        <v>12</v>
      </c>
      <c r="C831" s="2">
        <v>41155</v>
      </c>
      <c r="D831" s="1">
        <v>10</v>
      </c>
      <c r="E831" s="1" t="s">
        <v>42</v>
      </c>
      <c r="I831" s="1" t="s">
        <v>12</v>
      </c>
      <c r="J831" s="1" t="s">
        <v>86</v>
      </c>
      <c r="K831" s="1" t="s">
        <v>14</v>
      </c>
      <c r="L831" s="1" t="s">
        <v>12</v>
      </c>
      <c r="M831" s="1" t="s">
        <v>12</v>
      </c>
      <c r="N831" s="1">
        <v>21.12</v>
      </c>
      <c r="O831" s="1" t="s">
        <v>23</v>
      </c>
      <c r="P831" s="1">
        <v>0.39</v>
      </c>
      <c r="Q831" s="1" t="s">
        <v>16</v>
      </c>
      <c r="R831" s="1" t="str">
        <f>IF(N831="","",VLOOKUP(N831,Prior_levels,2,TRUE))</f>
        <v>L</v>
      </c>
    </row>
    <row r="832" spans="1:18" x14ac:dyDescent="0.2">
      <c r="A832" s="1" t="s">
        <v>108</v>
      </c>
      <c r="B832" s="1" t="s">
        <v>12</v>
      </c>
      <c r="C832" s="2">
        <v>41155</v>
      </c>
      <c r="D832" s="1">
        <v>10</v>
      </c>
      <c r="E832" s="1" t="s">
        <v>42</v>
      </c>
      <c r="I832" s="1" t="s">
        <v>12</v>
      </c>
      <c r="J832" s="1" t="s">
        <v>86</v>
      </c>
      <c r="K832" s="1" t="s">
        <v>14</v>
      </c>
      <c r="L832" s="1" t="s">
        <v>12</v>
      </c>
      <c r="M832" s="1" t="s">
        <v>12</v>
      </c>
      <c r="N832" s="1">
        <v>21.12</v>
      </c>
      <c r="O832" s="1" t="s">
        <v>25</v>
      </c>
      <c r="P832" s="1">
        <v>-2.2000000000000002</v>
      </c>
      <c r="Q832" s="1" t="s">
        <v>16</v>
      </c>
      <c r="R832" s="1" t="str">
        <f>IF(N832="","",VLOOKUP(N832,Prior_levels,2,TRUE))</f>
        <v>L</v>
      </c>
    </row>
    <row r="833" spans="1:18" x14ac:dyDescent="0.2">
      <c r="A833" s="1" t="s">
        <v>108</v>
      </c>
      <c r="B833" s="1" t="s">
        <v>12</v>
      </c>
      <c r="C833" s="2">
        <v>41155</v>
      </c>
      <c r="D833" s="1">
        <v>10</v>
      </c>
      <c r="E833" s="1" t="s">
        <v>42</v>
      </c>
      <c r="I833" s="1" t="s">
        <v>12</v>
      </c>
      <c r="J833" s="1" t="s">
        <v>86</v>
      </c>
      <c r="K833" s="1" t="s">
        <v>14</v>
      </c>
      <c r="L833" s="1" t="s">
        <v>12</v>
      </c>
      <c r="M833" s="1" t="s">
        <v>12</v>
      </c>
      <c r="N833" s="1">
        <v>21.12</v>
      </c>
      <c r="O833" s="1" t="s">
        <v>26</v>
      </c>
      <c r="P833" s="1">
        <v>0</v>
      </c>
      <c r="Q833" s="1" t="s">
        <v>16</v>
      </c>
      <c r="R833" s="1" t="str">
        <f>IF(N833="","",VLOOKUP(N833,Prior_levels,2,TRUE))</f>
        <v>L</v>
      </c>
    </row>
    <row r="834" spans="1:18" x14ac:dyDescent="0.2">
      <c r="A834" s="1" t="s">
        <v>108</v>
      </c>
      <c r="B834" s="1" t="s">
        <v>12</v>
      </c>
      <c r="C834" s="2">
        <v>41155</v>
      </c>
      <c r="D834" s="1">
        <v>10</v>
      </c>
      <c r="E834" s="1" t="s">
        <v>42</v>
      </c>
      <c r="I834" s="1" t="s">
        <v>12</v>
      </c>
      <c r="J834" s="1" t="s">
        <v>86</v>
      </c>
      <c r="K834" s="1" t="s">
        <v>14</v>
      </c>
      <c r="L834" s="1" t="s">
        <v>12</v>
      </c>
      <c r="M834" s="1" t="s">
        <v>12</v>
      </c>
      <c r="N834" s="1">
        <v>21.12</v>
      </c>
      <c r="O834" s="1" t="s">
        <v>24</v>
      </c>
      <c r="P834" s="1">
        <v>3.49</v>
      </c>
      <c r="Q834" s="1" t="s">
        <v>16</v>
      </c>
      <c r="R834" s="1" t="str">
        <f>IF(N834="","",VLOOKUP(N834,Prior_levels,2,TRUE))</f>
        <v>L</v>
      </c>
    </row>
    <row r="835" spans="1:18" x14ac:dyDescent="0.2">
      <c r="A835" s="1" t="s">
        <v>108</v>
      </c>
      <c r="B835" s="1" t="s">
        <v>12</v>
      </c>
      <c r="C835" s="2">
        <v>41155</v>
      </c>
      <c r="D835" s="1">
        <v>10</v>
      </c>
      <c r="E835" s="1" t="s">
        <v>42</v>
      </c>
      <c r="I835" s="1" t="s">
        <v>12</v>
      </c>
      <c r="J835" s="1" t="s">
        <v>86</v>
      </c>
      <c r="K835" s="1" t="s">
        <v>14</v>
      </c>
      <c r="L835" s="1" t="s">
        <v>12</v>
      </c>
      <c r="M835" s="1" t="s">
        <v>12</v>
      </c>
      <c r="N835" s="1">
        <v>21.12</v>
      </c>
      <c r="O835" s="1" t="s">
        <v>32</v>
      </c>
      <c r="P835" s="1" t="s">
        <v>28</v>
      </c>
      <c r="Q835" s="1" t="s">
        <v>16</v>
      </c>
      <c r="R835" s="1" t="str">
        <f>IF(N835="","",VLOOKUP(N835,Prior_levels,2,TRUE))</f>
        <v>L</v>
      </c>
    </row>
    <row r="836" spans="1:18" x14ac:dyDescent="0.2">
      <c r="A836" s="1" t="s">
        <v>108</v>
      </c>
      <c r="B836" s="1" t="s">
        <v>12</v>
      </c>
      <c r="C836" s="2">
        <v>41155</v>
      </c>
      <c r="D836" s="1">
        <v>10</v>
      </c>
      <c r="E836" s="1" t="s">
        <v>42</v>
      </c>
      <c r="I836" s="1" t="s">
        <v>12</v>
      </c>
      <c r="J836" s="1" t="s">
        <v>86</v>
      </c>
      <c r="K836" s="1" t="s">
        <v>14</v>
      </c>
      <c r="L836" s="1" t="s">
        <v>12</v>
      </c>
      <c r="M836" s="1" t="s">
        <v>12</v>
      </c>
      <c r="N836" s="1">
        <v>21.12</v>
      </c>
      <c r="O836" s="1" t="s">
        <v>27</v>
      </c>
      <c r="P836" s="1" t="s">
        <v>28</v>
      </c>
      <c r="Q836" s="1" t="s">
        <v>16</v>
      </c>
      <c r="R836" s="1" t="str">
        <f>IF(N836="","",VLOOKUP(N836,Prior_levels,2,TRUE))</f>
        <v>L</v>
      </c>
    </row>
    <row r="837" spans="1:18" x14ac:dyDescent="0.2">
      <c r="A837" s="1" t="s">
        <v>108</v>
      </c>
      <c r="B837" s="1" t="s">
        <v>12</v>
      </c>
      <c r="C837" s="2">
        <v>41155</v>
      </c>
      <c r="D837" s="1">
        <v>10</v>
      </c>
      <c r="E837" s="1" t="s">
        <v>42</v>
      </c>
      <c r="I837" s="1" t="s">
        <v>12</v>
      </c>
      <c r="J837" s="1" t="s">
        <v>86</v>
      </c>
      <c r="K837" s="1" t="s">
        <v>14</v>
      </c>
      <c r="L837" s="1" t="s">
        <v>12</v>
      </c>
      <c r="M837" s="1" t="s">
        <v>12</v>
      </c>
      <c r="N837" s="1">
        <v>21.12</v>
      </c>
      <c r="O837" s="1" t="s">
        <v>29</v>
      </c>
      <c r="P837" s="1" t="s">
        <v>28</v>
      </c>
      <c r="Q837" s="1" t="s">
        <v>16</v>
      </c>
      <c r="R837" s="1" t="str">
        <f>IF(N837="","",VLOOKUP(N837,Prior_levels,2,TRUE))</f>
        <v>L</v>
      </c>
    </row>
    <row r="838" spans="1:18" x14ac:dyDescent="0.2">
      <c r="A838" s="1" t="s">
        <v>108</v>
      </c>
      <c r="B838" s="1" t="s">
        <v>12</v>
      </c>
      <c r="C838" s="2">
        <v>41155</v>
      </c>
      <c r="D838" s="1">
        <v>10</v>
      </c>
      <c r="E838" s="1" t="s">
        <v>42</v>
      </c>
      <c r="I838" s="1" t="s">
        <v>12</v>
      </c>
      <c r="J838" s="1" t="s">
        <v>86</v>
      </c>
      <c r="K838" s="1" t="s">
        <v>14</v>
      </c>
      <c r="L838" s="1" t="s">
        <v>12</v>
      </c>
      <c r="M838" s="1" t="s">
        <v>12</v>
      </c>
      <c r="N838" s="1">
        <v>21.12</v>
      </c>
      <c r="O838" s="1" t="s">
        <v>30</v>
      </c>
      <c r="P838" s="1" t="s">
        <v>28</v>
      </c>
      <c r="Q838" s="1" t="s">
        <v>16</v>
      </c>
      <c r="R838" s="1" t="str">
        <f>IF(N838="","",VLOOKUP(N838,Prior_levels,2,TRUE))</f>
        <v>L</v>
      </c>
    </row>
    <row r="839" spans="1:18" x14ac:dyDescent="0.2">
      <c r="A839" s="1" t="s">
        <v>108</v>
      </c>
      <c r="B839" s="1" t="s">
        <v>12</v>
      </c>
      <c r="C839" s="2">
        <v>41155</v>
      </c>
      <c r="D839" s="1">
        <v>10</v>
      </c>
      <c r="E839" s="1" t="s">
        <v>42</v>
      </c>
      <c r="I839" s="1" t="s">
        <v>12</v>
      </c>
      <c r="J839" s="1" t="s">
        <v>86</v>
      </c>
      <c r="K839" s="1" t="s">
        <v>14</v>
      </c>
      <c r="L839" s="1" t="s">
        <v>12</v>
      </c>
      <c r="M839" s="1" t="s">
        <v>12</v>
      </c>
      <c r="N839" s="1">
        <v>21.12</v>
      </c>
      <c r="O839" s="1" t="s">
        <v>31</v>
      </c>
      <c r="P839" s="1" t="s">
        <v>28</v>
      </c>
      <c r="Q839" s="1" t="s">
        <v>16</v>
      </c>
      <c r="R839" s="1" t="str">
        <f>IF(N839="","",VLOOKUP(N839,Prior_levels,2,TRUE))</f>
        <v>L</v>
      </c>
    </row>
    <row r="840" spans="1:18" x14ac:dyDescent="0.2">
      <c r="A840" s="1" t="s">
        <v>109</v>
      </c>
      <c r="B840" s="1" t="s">
        <v>10</v>
      </c>
      <c r="C840" s="2">
        <v>41155</v>
      </c>
      <c r="D840" s="1">
        <v>10</v>
      </c>
      <c r="E840" s="1" t="s">
        <v>42</v>
      </c>
      <c r="I840" s="1" t="s">
        <v>12</v>
      </c>
      <c r="J840" s="1" t="s">
        <v>110</v>
      </c>
      <c r="K840" s="1" t="s">
        <v>14</v>
      </c>
      <c r="L840" s="1" t="s">
        <v>35</v>
      </c>
      <c r="M840" s="1" t="s">
        <v>35</v>
      </c>
      <c r="N840" s="1">
        <v>36.18</v>
      </c>
      <c r="O840" s="1" t="s">
        <v>15</v>
      </c>
      <c r="P840" s="1">
        <v>6</v>
      </c>
      <c r="Q840" s="1" t="s">
        <v>16</v>
      </c>
      <c r="R840" s="1" t="str">
        <f>IF(N840="","",VLOOKUP(N840,Prior_levels,2,TRUE))</f>
        <v>H</v>
      </c>
    </row>
    <row r="841" spans="1:18" x14ac:dyDescent="0.2">
      <c r="A841" s="1" t="s">
        <v>109</v>
      </c>
      <c r="B841" s="1" t="s">
        <v>10</v>
      </c>
      <c r="C841" s="2">
        <v>41155</v>
      </c>
      <c r="D841" s="1">
        <v>10</v>
      </c>
      <c r="E841" s="1" t="s">
        <v>42</v>
      </c>
      <c r="I841" s="1" t="s">
        <v>12</v>
      </c>
      <c r="J841" s="1" t="s">
        <v>110</v>
      </c>
      <c r="K841" s="1" t="s">
        <v>14</v>
      </c>
      <c r="L841" s="1" t="s">
        <v>35</v>
      </c>
      <c r="M841" s="1" t="s">
        <v>35</v>
      </c>
      <c r="N841" s="1">
        <v>36.18</v>
      </c>
      <c r="O841" s="1" t="s">
        <v>18</v>
      </c>
      <c r="P841" s="1">
        <v>14</v>
      </c>
      <c r="Q841" s="1" t="s">
        <v>16</v>
      </c>
      <c r="R841" s="1" t="str">
        <f>IF(N841="","",VLOOKUP(N841,Prior_levels,2,TRUE))</f>
        <v>H</v>
      </c>
    </row>
    <row r="842" spans="1:18" x14ac:dyDescent="0.2">
      <c r="A842" s="1" t="s">
        <v>109</v>
      </c>
      <c r="B842" s="1" t="s">
        <v>10</v>
      </c>
      <c r="C842" s="2">
        <v>41155</v>
      </c>
      <c r="D842" s="1">
        <v>10</v>
      </c>
      <c r="E842" s="1" t="s">
        <v>42</v>
      </c>
      <c r="I842" s="1" t="s">
        <v>12</v>
      </c>
      <c r="J842" s="1" t="s">
        <v>110</v>
      </c>
      <c r="K842" s="1" t="s">
        <v>14</v>
      </c>
      <c r="L842" s="1" t="s">
        <v>35</v>
      </c>
      <c r="M842" s="1" t="s">
        <v>35</v>
      </c>
      <c r="N842" s="1">
        <v>36.18</v>
      </c>
      <c r="O842" s="1" t="s">
        <v>19</v>
      </c>
      <c r="P842" s="1">
        <v>10</v>
      </c>
      <c r="Q842" s="1" t="s">
        <v>16</v>
      </c>
      <c r="R842" s="1" t="str">
        <f>IF(N842="","",VLOOKUP(N842,Prior_levels,2,TRUE))</f>
        <v>H</v>
      </c>
    </row>
    <row r="843" spans="1:18" x14ac:dyDescent="0.2">
      <c r="A843" s="1" t="s">
        <v>109</v>
      </c>
      <c r="B843" s="1" t="s">
        <v>10</v>
      </c>
      <c r="C843" s="2">
        <v>41155</v>
      </c>
      <c r="D843" s="1">
        <v>10</v>
      </c>
      <c r="E843" s="1" t="s">
        <v>42</v>
      </c>
      <c r="I843" s="1" t="s">
        <v>12</v>
      </c>
      <c r="J843" s="1" t="s">
        <v>110</v>
      </c>
      <c r="K843" s="1" t="s">
        <v>14</v>
      </c>
      <c r="L843" s="1" t="s">
        <v>35</v>
      </c>
      <c r="M843" s="1" t="s">
        <v>35</v>
      </c>
      <c r="N843" s="1">
        <v>36.18</v>
      </c>
      <c r="O843" s="1" t="s">
        <v>20</v>
      </c>
      <c r="P843" s="1">
        <v>18</v>
      </c>
      <c r="Q843" s="1" t="s">
        <v>16</v>
      </c>
      <c r="R843" s="1" t="str">
        <f>IF(N843="","",VLOOKUP(N843,Prior_levels,2,TRUE))</f>
        <v>H</v>
      </c>
    </row>
    <row r="844" spans="1:18" x14ac:dyDescent="0.2">
      <c r="A844" s="1" t="s">
        <v>109</v>
      </c>
      <c r="B844" s="1" t="s">
        <v>10</v>
      </c>
      <c r="C844" s="2">
        <v>41155</v>
      </c>
      <c r="D844" s="1">
        <v>10</v>
      </c>
      <c r="E844" s="1" t="s">
        <v>42</v>
      </c>
      <c r="I844" s="1" t="s">
        <v>12</v>
      </c>
      <c r="J844" s="1" t="s">
        <v>110</v>
      </c>
      <c r="K844" s="1" t="s">
        <v>14</v>
      </c>
      <c r="L844" s="1" t="s">
        <v>35</v>
      </c>
      <c r="M844" s="1" t="s">
        <v>35</v>
      </c>
      <c r="N844" s="1">
        <v>36.18</v>
      </c>
      <c r="O844" s="1" t="s">
        <v>21</v>
      </c>
      <c r="P844" s="1">
        <v>18</v>
      </c>
      <c r="Q844" s="1" t="s">
        <v>16</v>
      </c>
      <c r="R844" s="1" t="str">
        <f>IF(N844="","",VLOOKUP(N844,Prior_levels,2,TRUE))</f>
        <v>H</v>
      </c>
    </row>
    <row r="845" spans="1:18" x14ac:dyDescent="0.2">
      <c r="A845" s="1" t="s">
        <v>109</v>
      </c>
      <c r="B845" s="1" t="s">
        <v>10</v>
      </c>
      <c r="C845" s="2">
        <v>41155</v>
      </c>
      <c r="D845" s="1">
        <v>10</v>
      </c>
      <c r="E845" s="1" t="s">
        <v>42</v>
      </c>
      <c r="I845" s="1" t="s">
        <v>12</v>
      </c>
      <c r="J845" s="1" t="s">
        <v>110</v>
      </c>
      <c r="K845" s="1" t="s">
        <v>14</v>
      </c>
      <c r="L845" s="1" t="s">
        <v>35</v>
      </c>
      <c r="M845" s="1" t="s">
        <v>35</v>
      </c>
      <c r="N845" s="1">
        <v>36.18</v>
      </c>
      <c r="O845" s="1" t="s">
        <v>26</v>
      </c>
      <c r="P845" s="1">
        <v>9</v>
      </c>
      <c r="Q845" s="1" t="s">
        <v>16</v>
      </c>
      <c r="R845" s="1" t="str">
        <f>IF(N845="","",VLOOKUP(N845,Prior_levels,2,TRUE))</f>
        <v>H</v>
      </c>
    </row>
    <row r="846" spans="1:18" x14ac:dyDescent="0.2">
      <c r="A846" s="1" t="s">
        <v>109</v>
      </c>
      <c r="B846" s="1" t="s">
        <v>10</v>
      </c>
      <c r="C846" s="2">
        <v>41155</v>
      </c>
      <c r="D846" s="1">
        <v>10</v>
      </c>
      <c r="E846" s="1" t="s">
        <v>42</v>
      </c>
      <c r="I846" s="1" t="s">
        <v>12</v>
      </c>
      <c r="J846" s="1" t="s">
        <v>110</v>
      </c>
      <c r="K846" s="1" t="s">
        <v>14</v>
      </c>
      <c r="L846" s="1" t="s">
        <v>35</v>
      </c>
      <c r="M846" s="1" t="s">
        <v>35</v>
      </c>
      <c r="N846" s="1">
        <v>36.18</v>
      </c>
      <c r="O846" s="1" t="s">
        <v>32</v>
      </c>
      <c r="P846" s="1" t="s">
        <v>37</v>
      </c>
      <c r="Q846" s="1" t="s">
        <v>16</v>
      </c>
      <c r="R846" s="1" t="str">
        <f>IF(N846="","",VLOOKUP(N846,Prior_levels,2,TRUE))</f>
        <v>H</v>
      </c>
    </row>
    <row r="847" spans="1:18" x14ac:dyDescent="0.2">
      <c r="A847" s="1" t="s">
        <v>109</v>
      </c>
      <c r="B847" s="1" t="s">
        <v>10</v>
      </c>
      <c r="C847" s="2">
        <v>41155</v>
      </c>
      <c r="D847" s="1">
        <v>10</v>
      </c>
      <c r="E847" s="1" t="s">
        <v>42</v>
      </c>
      <c r="I847" s="1" t="s">
        <v>12</v>
      </c>
      <c r="J847" s="1" t="s">
        <v>110</v>
      </c>
      <c r="K847" s="1" t="s">
        <v>14</v>
      </c>
      <c r="L847" s="1" t="s">
        <v>35</v>
      </c>
      <c r="M847" s="1" t="s">
        <v>35</v>
      </c>
      <c r="N847" s="1">
        <v>36.18</v>
      </c>
      <c r="O847" s="1" t="s">
        <v>27</v>
      </c>
      <c r="P847" s="1" t="s">
        <v>37</v>
      </c>
      <c r="Q847" s="1" t="s">
        <v>16</v>
      </c>
      <c r="R847" s="1" t="str">
        <f>IF(N847="","",VLOOKUP(N847,Prior_levels,2,TRUE))</f>
        <v>H</v>
      </c>
    </row>
    <row r="848" spans="1:18" x14ac:dyDescent="0.2">
      <c r="A848" s="1" t="s">
        <v>109</v>
      </c>
      <c r="B848" s="1" t="s">
        <v>10</v>
      </c>
      <c r="C848" s="2">
        <v>41155</v>
      </c>
      <c r="D848" s="1">
        <v>10</v>
      </c>
      <c r="E848" s="1" t="s">
        <v>42</v>
      </c>
      <c r="I848" s="1" t="s">
        <v>12</v>
      </c>
      <c r="J848" s="1" t="s">
        <v>110</v>
      </c>
      <c r="K848" s="1" t="s">
        <v>14</v>
      </c>
      <c r="L848" s="1" t="s">
        <v>35</v>
      </c>
      <c r="M848" s="1" t="s">
        <v>35</v>
      </c>
      <c r="N848" s="1">
        <v>36.18</v>
      </c>
      <c r="O848" s="1" t="s">
        <v>29</v>
      </c>
      <c r="P848" s="1" t="s">
        <v>37</v>
      </c>
      <c r="Q848" s="1" t="s">
        <v>16</v>
      </c>
      <c r="R848" s="1" t="str">
        <f>IF(N848="","",VLOOKUP(N848,Prior_levels,2,TRUE))</f>
        <v>H</v>
      </c>
    </row>
    <row r="849" spans="1:18" x14ac:dyDescent="0.2">
      <c r="A849" s="1" t="s">
        <v>109</v>
      </c>
      <c r="B849" s="1" t="s">
        <v>10</v>
      </c>
      <c r="C849" s="2">
        <v>41155</v>
      </c>
      <c r="D849" s="1">
        <v>10</v>
      </c>
      <c r="E849" s="1" t="s">
        <v>42</v>
      </c>
      <c r="I849" s="1" t="s">
        <v>12</v>
      </c>
      <c r="J849" s="1" t="s">
        <v>110</v>
      </c>
      <c r="K849" s="1" t="s">
        <v>14</v>
      </c>
      <c r="L849" s="1" t="s">
        <v>35</v>
      </c>
      <c r="M849" s="1" t="s">
        <v>35</v>
      </c>
      <c r="N849" s="1">
        <v>36.18</v>
      </c>
      <c r="O849" s="1" t="s">
        <v>30</v>
      </c>
      <c r="P849" s="1" t="s">
        <v>37</v>
      </c>
      <c r="Q849" s="1" t="s">
        <v>16</v>
      </c>
      <c r="R849" s="1" t="str">
        <f>IF(N849="","",VLOOKUP(N849,Prior_levels,2,TRUE))</f>
        <v>H</v>
      </c>
    </row>
    <row r="850" spans="1:18" x14ac:dyDescent="0.2">
      <c r="A850" s="1" t="s">
        <v>109</v>
      </c>
      <c r="B850" s="1" t="s">
        <v>10</v>
      </c>
      <c r="C850" s="2">
        <v>41155</v>
      </c>
      <c r="D850" s="1">
        <v>10</v>
      </c>
      <c r="E850" s="1" t="s">
        <v>42</v>
      </c>
      <c r="I850" s="1" t="s">
        <v>12</v>
      </c>
      <c r="J850" s="1" t="s">
        <v>110</v>
      </c>
      <c r="K850" s="1" t="s">
        <v>14</v>
      </c>
      <c r="L850" s="1" t="s">
        <v>35</v>
      </c>
      <c r="M850" s="1" t="s">
        <v>35</v>
      </c>
      <c r="N850" s="1">
        <v>36.18</v>
      </c>
      <c r="O850" s="1" t="s">
        <v>31</v>
      </c>
      <c r="P850" s="1" t="s">
        <v>28</v>
      </c>
      <c r="Q850" s="1" t="s">
        <v>16</v>
      </c>
      <c r="R850" s="1" t="str">
        <f>IF(N850="","",VLOOKUP(N850,Prior_levels,2,TRUE))</f>
        <v>H</v>
      </c>
    </row>
    <row r="851" spans="1:18" x14ac:dyDescent="0.2">
      <c r="A851" s="1" t="s">
        <v>111</v>
      </c>
      <c r="B851" s="1" t="s">
        <v>12</v>
      </c>
      <c r="C851" s="2">
        <v>41155</v>
      </c>
      <c r="D851" s="1">
        <v>10</v>
      </c>
      <c r="E851" s="1" t="s">
        <v>52</v>
      </c>
      <c r="I851" s="1" t="s">
        <v>12</v>
      </c>
      <c r="J851" s="1" t="s">
        <v>43</v>
      </c>
      <c r="K851" s="1" t="s">
        <v>14</v>
      </c>
      <c r="L851" s="1" t="s">
        <v>35</v>
      </c>
      <c r="M851" s="1" t="s">
        <v>35</v>
      </c>
      <c r="N851" s="1">
        <v>30.18</v>
      </c>
      <c r="O851" s="1" t="s">
        <v>15</v>
      </c>
      <c r="P851" s="1">
        <v>4.95</v>
      </c>
      <c r="Q851" s="1" t="s">
        <v>16</v>
      </c>
      <c r="R851" s="1" t="str">
        <f>IF(N851="","",VLOOKUP(N851,Prior_levels,2,TRUE))</f>
        <v>H</v>
      </c>
    </row>
    <row r="852" spans="1:18" x14ac:dyDescent="0.2">
      <c r="A852" s="1" t="s">
        <v>111</v>
      </c>
      <c r="B852" s="1" t="s">
        <v>12</v>
      </c>
      <c r="C852" s="2">
        <v>41155</v>
      </c>
      <c r="D852" s="1">
        <v>10</v>
      </c>
      <c r="E852" s="1" t="s">
        <v>52</v>
      </c>
      <c r="I852" s="1" t="s">
        <v>12</v>
      </c>
      <c r="J852" s="1" t="s">
        <v>43</v>
      </c>
      <c r="K852" s="1" t="s">
        <v>14</v>
      </c>
      <c r="L852" s="1" t="s">
        <v>35</v>
      </c>
      <c r="M852" s="1" t="s">
        <v>35</v>
      </c>
      <c r="N852" s="1">
        <v>30.18</v>
      </c>
      <c r="O852" s="1" t="s">
        <v>17</v>
      </c>
      <c r="P852" s="1">
        <v>-0.64</v>
      </c>
      <c r="Q852" s="1" t="s">
        <v>16</v>
      </c>
      <c r="R852" s="1" t="str">
        <f>IF(N852="","",VLOOKUP(N852,Prior_levels,2,TRUE))</f>
        <v>H</v>
      </c>
    </row>
    <row r="853" spans="1:18" x14ac:dyDescent="0.2">
      <c r="A853" s="1" t="s">
        <v>111</v>
      </c>
      <c r="B853" s="1" t="s">
        <v>12</v>
      </c>
      <c r="C853" s="2">
        <v>41155</v>
      </c>
      <c r="D853" s="1">
        <v>10</v>
      </c>
      <c r="E853" s="1" t="s">
        <v>52</v>
      </c>
      <c r="I853" s="1" t="s">
        <v>12</v>
      </c>
      <c r="J853" s="1" t="s">
        <v>43</v>
      </c>
      <c r="K853" s="1" t="s">
        <v>14</v>
      </c>
      <c r="L853" s="1" t="s">
        <v>35</v>
      </c>
      <c r="M853" s="1" t="s">
        <v>35</v>
      </c>
      <c r="N853" s="1">
        <v>30.18</v>
      </c>
      <c r="O853" s="1" t="s">
        <v>18</v>
      </c>
      <c r="P853" s="1">
        <v>12</v>
      </c>
      <c r="Q853" s="1" t="s">
        <v>16</v>
      </c>
      <c r="R853" s="1" t="str">
        <f>IF(N853="","",VLOOKUP(N853,Prior_levels,2,TRUE))</f>
        <v>H</v>
      </c>
    </row>
    <row r="854" spans="1:18" x14ac:dyDescent="0.2">
      <c r="A854" s="1" t="s">
        <v>111</v>
      </c>
      <c r="B854" s="1" t="s">
        <v>12</v>
      </c>
      <c r="C854" s="2">
        <v>41155</v>
      </c>
      <c r="D854" s="1">
        <v>10</v>
      </c>
      <c r="E854" s="1" t="s">
        <v>52</v>
      </c>
      <c r="I854" s="1" t="s">
        <v>12</v>
      </c>
      <c r="J854" s="1" t="s">
        <v>43</v>
      </c>
      <c r="K854" s="1" t="s">
        <v>14</v>
      </c>
      <c r="L854" s="1" t="s">
        <v>35</v>
      </c>
      <c r="M854" s="1" t="s">
        <v>35</v>
      </c>
      <c r="N854" s="1">
        <v>30.18</v>
      </c>
      <c r="O854" s="1" t="s">
        <v>19</v>
      </c>
      <c r="P854" s="1">
        <v>10</v>
      </c>
      <c r="Q854" s="1" t="s">
        <v>16</v>
      </c>
      <c r="R854" s="1" t="str">
        <f>IF(N854="","",VLOOKUP(N854,Prior_levels,2,TRUE))</f>
        <v>H</v>
      </c>
    </row>
    <row r="855" spans="1:18" x14ac:dyDescent="0.2">
      <c r="A855" s="1" t="s">
        <v>111</v>
      </c>
      <c r="B855" s="1" t="s">
        <v>12</v>
      </c>
      <c r="C855" s="2">
        <v>41155</v>
      </c>
      <c r="D855" s="1">
        <v>10</v>
      </c>
      <c r="E855" s="1" t="s">
        <v>52</v>
      </c>
      <c r="I855" s="1" t="s">
        <v>12</v>
      </c>
      <c r="J855" s="1" t="s">
        <v>43</v>
      </c>
      <c r="K855" s="1" t="s">
        <v>14</v>
      </c>
      <c r="L855" s="1" t="s">
        <v>35</v>
      </c>
      <c r="M855" s="1" t="s">
        <v>35</v>
      </c>
      <c r="N855" s="1">
        <v>30.18</v>
      </c>
      <c r="O855" s="1" t="s">
        <v>20</v>
      </c>
      <c r="P855" s="1">
        <v>13.5</v>
      </c>
      <c r="Q855" s="1" t="s">
        <v>16</v>
      </c>
      <c r="R855" s="1" t="str">
        <f>IF(N855="","",VLOOKUP(N855,Prior_levels,2,TRUE))</f>
        <v>H</v>
      </c>
    </row>
    <row r="856" spans="1:18" x14ac:dyDescent="0.2">
      <c r="A856" s="1" t="s">
        <v>111</v>
      </c>
      <c r="B856" s="1" t="s">
        <v>12</v>
      </c>
      <c r="C856" s="2">
        <v>41155</v>
      </c>
      <c r="D856" s="1">
        <v>10</v>
      </c>
      <c r="E856" s="1" t="s">
        <v>52</v>
      </c>
      <c r="I856" s="1" t="s">
        <v>12</v>
      </c>
      <c r="J856" s="1" t="s">
        <v>43</v>
      </c>
      <c r="K856" s="1" t="s">
        <v>14</v>
      </c>
      <c r="L856" s="1" t="s">
        <v>35</v>
      </c>
      <c r="M856" s="1" t="s">
        <v>35</v>
      </c>
      <c r="N856" s="1">
        <v>30.18</v>
      </c>
      <c r="O856" s="1" t="s">
        <v>21</v>
      </c>
      <c r="P856" s="1">
        <v>14</v>
      </c>
      <c r="Q856" s="1" t="s">
        <v>16</v>
      </c>
      <c r="R856" s="1" t="str">
        <f>IF(N856="","",VLOOKUP(N856,Prior_levels,2,TRUE))</f>
        <v>H</v>
      </c>
    </row>
    <row r="857" spans="1:18" x14ac:dyDescent="0.2">
      <c r="A857" s="1" t="s">
        <v>111</v>
      </c>
      <c r="B857" s="1" t="s">
        <v>12</v>
      </c>
      <c r="C857" s="2">
        <v>41155</v>
      </c>
      <c r="D857" s="1">
        <v>10</v>
      </c>
      <c r="E857" s="1" t="s">
        <v>52</v>
      </c>
      <c r="I857" s="1" t="s">
        <v>12</v>
      </c>
      <c r="J857" s="1" t="s">
        <v>43</v>
      </c>
      <c r="K857" s="1" t="s">
        <v>14</v>
      </c>
      <c r="L857" s="1" t="s">
        <v>35</v>
      </c>
      <c r="M857" s="1" t="s">
        <v>35</v>
      </c>
      <c r="N857" s="1">
        <v>30.18</v>
      </c>
      <c r="O857" s="1" t="s">
        <v>22</v>
      </c>
      <c r="P857" s="1">
        <v>0.15</v>
      </c>
      <c r="Q857" s="1" t="s">
        <v>16</v>
      </c>
      <c r="R857" s="1" t="str">
        <f>IF(N857="","",VLOOKUP(N857,Prior_levels,2,TRUE))</f>
        <v>H</v>
      </c>
    </row>
    <row r="858" spans="1:18" x14ac:dyDescent="0.2">
      <c r="A858" s="1" t="s">
        <v>111</v>
      </c>
      <c r="B858" s="1" t="s">
        <v>12</v>
      </c>
      <c r="C858" s="2">
        <v>41155</v>
      </c>
      <c r="D858" s="1">
        <v>10</v>
      </c>
      <c r="E858" s="1" t="s">
        <v>52</v>
      </c>
      <c r="I858" s="1" t="s">
        <v>12</v>
      </c>
      <c r="J858" s="1" t="s">
        <v>43</v>
      </c>
      <c r="K858" s="1" t="s">
        <v>14</v>
      </c>
      <c r="L858" s="1" t="s">
        <v>35</v>
      </c>
      <c r="M858" s="1" t="s">
        <v>35</v>
      </c>
      <c r="N858" s="1">
        <v>30.18</v>
      </c>
      <c r="O858" s="1" t="s">
        <v>23</v>
      </c>
      <c r="P858" s="1">
        <v>-0.63</v>
      </c>
      <c r="Q858" s="1" t="s">
        <v>16</v>
      </c>
      <c r="R858" s="1" t="str">
        <f>IF(N858="","",VLOOKUP(N858,Prior_levels,2,TRUE))</f>
        <v>H</v>
      </c>
    </row>
    <row r="859" spans="1:18" x14ac:dyDescent="0.2">
      <c r="A859" s="1" t="s">
        <v>111</v>
      </c>
      <c r="B859" s="1" t="s">
        <v>12</v>
      </c>
      <c r="C859" s="2">
        <v>41155</v>
      </c>
      <c r="D859" s="1">
        <v>10</v>
      </c>
      <c r="E859" s="1" t="s">
        <v>52</v>
      </c>
      <c r="I859" s="1" t="s">
        <v>12</v>
      </c>
      <c r="J859" s="1" t="s">
        <v>43</v>
      </c>
      <c r="K859" s="1" t="s">
        <v>14</v>
      </c>
      <c r="L859" s="1" t="s">
        <v>35</v>
      </c>
      <c r="M859" s="1" t="s">
        <v>35</v>
      </c>
      <c r="N859" s="1">
        <v>30.18</v>
      </c>
      <c r="O859" s="1" t="s">
        <v>24</v>
      </c>
      <c r="P859" s="1">
        <v>-2.21</v>
      </c>
      <c r="Q859" s="1" t="s">
        <v>16</v>
      </c>
      <c r="R859" s="1" t="str">
        <f>IF(N859="","",VLOOKUP(N859,Prior_levels,2,TRUE))</f>
        <v>H</v>
      </c>
    </row>
    <row r="860" spans="1:18" x14ac:dyDescent="0.2">
      <c r="A860" s="1" t="s">
        <v>111</v>
      </c>
      <c r="B860" s="1" t="s">
        <v>12</v>
      </c>
      <c r="C860" s="2">
        <v>41155</v>
      </c>
      <c r="D860" s="1">
        <v>10</v>
      </c>
      <c r="E860" s="1" t="s">
        <v>52</v>
      </c>
      <c r="I860" s="1" t="s">
        <v>12</v>
      </c>
      <c r="J860" s="1" t="s">
        <v>43</v>
      </c>
      <c r="K860" s="1" t="s">
        <v>14</v>
      </c>
      <c r="L860" s="1" t="s">
        <v>35</v>
      </c>
      <c r="M860" s="1" t="s">
        <v>35</v>
      </c>
      <c r="N860" s="1">
        <v>30.18</v>
      </c>
      <c r="O860" s="1" t="s">
        <v>25</v>
      </c>
      <c r="P860" s="1">
        <v>-3.21</v>
      </c>
      <c r="Q860" s="1" t="s">
        <v>16</v>
      </c>
      <c r="R860" s="1" t="str">
        <f>IF(N860="","",VLOOKUP(N860,Prior_levels,2,TRUE))</f>
        <v>H</v>
      </c>
    </row>
    <row r="861" spans="1:18" x14ac:dyDescent="0.2">
      <c r="A861" s="1" t="s">
        <v>111</v>
      </c>
      <c r="B861" s="1" t="s">
        <v>12</v>
      </c>
      <c r="C861" s="2">
        <v>41155</v>
      </c>
      <c r="D861" s="1">
        <v>10</v>
      </c>
      <c r="E861" s="1" t="s">
        <v>52</v>
      </c>
      <c r="I861" s="1" t="s">
        <v>12</v>
      </c>
      <c r="J861" s="1" t="s">
        <v>43</v>
      </c>
      <c r="K861" s="1" t="s">
        <v>14</v>
      </c>
      <c r="L861" s="1" t="s">
        <v>35</v>
      </c>
      <c r="M861" s="1" t="s">
        <v>35</v>
      </c>
      <c r="N861" s="1">
        <v>30.18</v>
      </c>
      <c r="O861" s="1" t="s">
        <v>26</v>
      </c>
      <c r="P861" s="1">
        <v>11</v>
      </c>
      <c r="Q861" s="1" t="s">
        <v>16</v>
      </c>
      <c r="R861" s="1" t="str">
        <f>IF(N861="","",VLOOKUP(N861,Prior_levels,2,TRUE))</f>
        <v>H</v>
      </c>
    </row>
    <row r="862" spans="1:18" x14ac:dyDescent="0.2">
      <c r="A862" s="1" t="s">
        <v>111</v>
      </c>
      <c r="B862" s="1" t="s">
        <v>12</v>
      </c>
      <c r="C862" s="2">
        <v>41155</v>
      </c>
      <c r="D862" s="1">
        <v>10</v>
      </c>
      <c r="E862" s="1" t="s">
        <v>52</v>
      </c>
      <c r="I862" s="1" t="s">
        <v>12</v>
      </c>
      <c r="J862" s="1" t="s">
        <v>43</v>
      </c>
      <c r="K862" s="1" t="s">
        <v>14</v>
      </c>
      <c r="L862" s="1" t="s">
        <v>35</v>
      </c>
      <c r="M862" s="1" t="s">
        <v>35</v>
      </c>
      <c r="N862" s="1">
        <v>30.18</v>
      </c>
      <c r="O862" s="1" t="s">
        <v>32</v>
      </c>
      <c r="P862" s="1" t="s">
        <v>37</v>
      </c>
      <c r="Q862" s="1" t="s">
        <v>16</v>
      </c>
      <c r="R862" s="1" t="str">
        <f>IF(N862="","",VLOOKUP(N862,Prior_levels,2,TRUE))</f>
        <v>H</v>
      </c>
    </row>
    <row r="863" spans="1:18" x14ac:dyDescent="0.2">
      <c r="A863" s="1" t="s">
        <v>111</v>
      </c>
      <c r="B863" s="1" t="s">
        <v>12</v>
      </c>
      <c r="C863" s="2">
        <v>41155</v>
      </c>
      <c r="D863" s="1">
        <v>10</v>
      </c>
      <c r="E863" s="1" t="s">
        <v>52</v>
      </c>
      <c r="I863" s="1" t="s">
        <v>12</v>
      </c>
      <c r="J863" s="1" t="s">
        <v>43</v>
      </c>
      <c r="K863" s="1" t="s">
        <v>14</v>
      </c>
      <c r="L863" s="1" t="s">
        <v>35</v>
      </c>
      <c r="M863" s="1" t="s">
        <v>35</v>
      </c>
      <c r="N863" s="1">
        <v>30.18</v>
      </c>
      <c r="O863" s="1" t="s">
        <v>27</v>
      </c>
      <c r="P863" s="1" t="s">
        <v>37</v>
      </c>
      <c r="Q863" s="1" t="s">
        <v>16</v>
      </c>
      <c r="R863" s="1" t="str">
        <f>IF(N863="","",VLOOKUP(N863,Prior_levels,2,TRUE))</f>
        <v>H</v>
      </c>
    </row>
    <row r="864" spans="1:18" x14ac:dyDescent="0.2">
      <c r="A864" s="1" t="s">
        <v>111</v>
      </c>
      <c r="B864" s="1" t="s">
        <v>12</v>
      </c>
      <c r="C864" s="2">
        <v>41155</v>
      </c>
      <c r="D864" s="1">
        <v>10</v>
      </c>
      <c r="E864" s="1" t="s">
        <v>52</v>
      </c>
      <c r="I864" s="1" t="s">
        <v>12</v>
      </c>
      <c r="J864" s="1" t="s">
        <v>43</v>
      </c>
      <c r="K864" s="1" t="s">
        <v>14</v>
      </c>
      <c r="L864" s="1" t="s">
        <v>35</v>
      </c>
      <c r="M864" s="1" t="s">
        <v>35</v>
      </c>
      <c r="N864" s="1">
        <v>30.18</v>
      </c>
      <c r="O864" s="1" t="s">
        <v>29</v>
      </c>
      <c r="P864" s="1" t="s">
        <v>37</v>
      </c>
      <c r="Q864" s="1" t="s">
        <v>16</v>
      </c>
      <c r="R864" s="1" t="str">
        <f>IF(N864="","",VLOOKUP(N864,Prior_levels,2,TRUE))</f>
        <v>H</v>
      </c>
    </row>
    <row r="865" spans="1:18" x14ac:dyDescent="0.2">
      <c r="A865" s="1" t="s">
        <v>111</v>
      </c>
      <c r="B865" s="1" t="s">
        <v>12</v>
      </c>
      <c r="C865" s="2">
        <v>41155</v>
      </c>
      <c r="D865" s="1">
        <v>10</v>
      </c>
      <c r="E865" s="1" t="s">
        <v>52</v>
      </c>
      <c r="I865" s="1" t="s">
        <v>12</v>
      </c>
      <c r="J865" s="1" t="s">
        <v>43</v>
      </c>
      <c r="K865" s="1" t="s">
        <v>14</v>
      </c>
      <c r="L865" s="1" t="s">
        <v>35</v>
      </c>
      <c r="M865" s="1" t="s">
        <v>35</v>
      </c>
      <c r="N865" s="1">
        <v>30.18</v>
      </c>
      <c r="O865" s="1" t="s">
        <v>30</v>
      </c>
      <c r="P865" s="1" t="s">
        <v>37</v>
      </c>
      <c r="Q865" s="1" t="s">
        <v>16</v>
      </c>
      <c r="R865" s="1" t="str">
        <f>IF(N865="","",VLOOKUP(N865,Prior_levels,2,TRUE))</f>
        <v>H</v>
      </c>
    </row>
    <row r="866" spans="1:18" x14ac:dyDescent="0.2">
      <c r="A866" s="1" t="s">
        <v>111</v>
      </c>
      <c r="B866" s="1" t="s">
        <v>12</v>
      </c>
      <c r="C866" s="2">
        <v>41155</v>
      </c>
      <c r="D866" s="1">
        <v>10</v>
      </c>
      <c r="E866" s="1" t="s">
        <v>52</v>
      </c>
      <c r="I866" s="1" t="s">
        <v>12</v>
      </c>
      <c r="J866" s="1" t="s">
        <v>43</v>
      </c>
      <c r="K866" s="1" t="s">
        <v>14</v>
      </c>
      <c r="L866" s="1" t="s">
        <v>35</v>
      </c>
      <c r="M866" s="1" t="s">
        <v>35</v>
      </c>
      <c r="N866" s="1">
        <v>30.18</v>
      </c>
      <c r="O866" s="1" t="s">
        <v>31</v>
      </c>
      <c r="P866" s="1" t="s">
        <v>37</v>
      </c>
      <c r="Q866" s="1" t="s">
        <v>16</v>
      </c>
      <c r="R866" s="1" t="str">
        <f>IF(N866="","",VLOOKUP(N866,Prior_levels,2,TRUE))</f>
        <v>H</v>
      </c>
    </row>
    <row r="867" spans="1:18" x14ac:dyDescent="0.2">
      <c r="A867" s="1" t="s">
        <v>112</v>
      </c>
      <c r="B867" s="1" t="s">
        <v>12</v>
      </c>
      <c r="C867" s="2">
        <v>41155</v>
      </c>
      <c r="D867" s="1">
        <v>10</v>
      </c>
      <c r="E867" s="1" t="s">
        <v>34</v>
      </c>
      <c r="I867" s="1" t="s">
        <v>12</v>
      </c>
      <c r="J867" s="1" t="s">
        <v>43</v>
      </c>
      <c r="K867" s="1" t="s">
        <v>57</v>
      </c>
      <c r="L867" s="1" t="s">
        <v>35</v>
      </c>
      <c r="M867" s="1" t="s">
        <v>35</v>
      </c>
      <c r="N867" s="1">
        <v>33.18</v>
      </c>
      <c r="O867" s="1" t="s">
        <v>15</v>
      </c>
      <c r="P867" s="1">
        <v>7</v>
      </c>
      <c r="Q867" s="1" t="s">
        <v>16</v>
      </c>
      <c r="R867" s="1" t="str">
        <f>IF(N867="","",VLOOKUP(N867,Prior_levels,2,TRUE))</f>
        <v>H</v>
      </c>
    </row>
    <row r="868" spans="1:18" x14ac:dyDescent="0.2">
      <c r="A868" s="1" t="s">
        <v>112</v>
      </c>
      <c r="B868" s="1" t="s">
        <v>12</v>
      </c>
      <c r="C868" s="2">
        <v>41155</v>
      </c>
      <c r="D868" s="1">
        <v>10</v>
      </c>
      <c r="E868" s="1" t="s">
        <v>34</v>
      </c>
      <c r="I868" s="1" t="s">
        <v>12</v>
      </c>
      <c r="J868" s="1" t="s">
        <v>43</v>
      </c>
      <c r="K868" s="1" t="s">
        <v>57</v>
      </c>
      <c r="L868" s="1" t="s">
        <v>35</v>
      </c>
      <c r="M868" s="1" t="s">
        <v>35</v>
      </c>
      <c r="N868" s="1">
        <v>33.18</v>
      </c>
      <c r="O868" s="1" t="s">
        <v>17</v>
      </c>
      <c r="P868" s="1">
        <v>0.45</v>
      </c>
      <c r="Q868" s="1" t="s">
        <v>16</v>
      </c>
      <c r="R868" s="1" t="str">
        <f>IF(N868="","",VLOOKUP(N868,Prior_levels,2,TRUE))</f>
        <v>H</v>
      </c>
    </row>
    <row r="869" spans="1:18" x14ac:dyDescent="0.2">
      <c r="A869" s="1" t="s">
        <v>112</v>
      </c>
      <c r="B869" s="1" t="s">
        <v>12</v>
      </c>
      <c r="C869" s="2">
        <v>41155</v>
      </c>
      <c r="D869" s="1">
        <v>10</v>
      </c>
      <c r="E869" s="1" t="s">
        <v>34</v>
      </c>
      <c r="I869" s="1" t="s">
        <v>12</v>
      </c>
      <c r="J869" s="1" t="s">
        <v>43</v>
      </c>
      <c r="K869" s="1" t="s">
        <v>57</v>
      </c>
      <c r="L869" s="1" t="s">
        <v>35</v>
      </c>
      <c r="M869" s="1" t="s">
        <v>35</v>
      </c>
      <c r="N869" s="1">
        <v>33.18</v>
      </c>
      <c r="O869" s="1" t="s">
        <v>18</v>
      </c>
      <c r="P869" s="1">
        <v>14</v>
      </c>
      <c r="Q869" s="1" t="s">
        <v>16</v>
      </c>
      <c r="R869" s="1" t="str">
        <f>IF(N869="","",VLOOKUP(N869,Prior_levels,2,TRUE))</f>
        <v>H</v>
      </c>
    </row>
    <row r="870" spans="1:18" x14ac:dyDescent="0.2">
      <c r="A870" s="1" t="s">
        <v>112</v>
      </c>
      <c r="B870" s="1" t="s">
        <v>12</v>
      </c>
      <c r="C870" s="2">
        <v>41155</v>
      </c>
      <c r="D870" s="1">
        <v>10</v>
      </c>
      <c r="E870" s="1" t="s">
        <v>34</v>
      </c>
      <c r="I870" s="1" t="s">
        <v>12</v>
      </c>
      <c r="J870" s="1" t="s">
        <v>43</v>
      </c>
      <c r="K870" s="1" t="s">
        <v>57</v>
      </c>
      <c r="L870" s="1" t="s">
        <v>35</v>
      </c>
      <c r="M870" s="1" t="s">
        <v>35</v>
      </c>
      <c r="N870" s="1">
        <v>33.18</v>
      </c>
      <c r="O870" s="1" t="s">
        <v>19</v>
      </c>
      <c r="P870" s="1">
        <v>14</v>
      </c>
      <c r="Q870" s="1" t="s">
        <v>16</v>
      </c>
      <c r="R870" s="1" t="str">
        <f>IF(N870="","",VLOOKUP(N870,Prior_levels,2,TRUE))</f>
        <v>H</v>
      </c>
    </row>
    <row r="871" spans="1:18" x14ac:dyDescent="0.2">
      <c r="A871" s="1" t="s">
        <v>112</v>
      </c>
      <c r="B871" s="1" t="s">
        <v>12</v>
      </c>
      <c r="C871" s="2">
        <v>41155</v>
      </c>
      <c r="D871" s="1">
        <v>10</v>
      </c>
      <c r="E871" s="1" t="s">
        <v>34</v>
      </c>
      <c r="I871" s="1" t="s">
        <v>12</v>
      </c>
      <c r="J871" s="1" t="s">
        <v>43</v>
      </c>
      <c r="K871" s="1" t="s">
        <v>57</v>
      </c>
      <c r="L871" s="1" t="s">
        <v>35</v>
      </c>
      <c r="M871" s="1" t="s">
        <v>35</v>
      </c>
      <c r="N871" s="1">
        <v>33.18</v>
      </c>
      <c r="O871" s="1" t="s">
        <v>20</v>
      </c>
      <c r="P871" s="1">
        <v>21</v>
      </c>
      <c r="Q871" s="1" t="s">
        <v>16</v>
      </c>
      <c r="R871" s="1" t="str">
        <f>IF(N871="","",VLOOKUP(N871,Prior_levels,2,TRUE))</f>
        <v>H</v>
      </c>
    </row>
    <row r="872" spans="1:18" x14ac:dyDescent="0.2">
      <c r="A872" s="1" t="s">
        <v>112</v>
      </c>
      <c r="B872" s="1" t="s">
        <v>12</v>
      </c>
      <c r="C872" s="2">
        <v>41155</v>
      </c>
      <c r="D872" s="1">
        <v>10</v>
      </c>
      <c r="E872" s="1" t="s">
        <v>34</v>
      </c>
      <c r="I872" s="1" t="s">
        <v>12</v>
      </c>
      <c r="J872" s="1" t="s">
        <v>43</v>
      </c>
      <c r="K872" s="1" t="s">
        <v>57</v>
      </c>
      <c r="L872" s="1" t="s">
        <v>35</v>
      </c>
      <c r="M872" s="1" t="s">
        <v>35</v>
      </c>
      <c r="N872" s="1">
        <v>33.18</v>
      </c>
      <c r="O872" s="1" t="s">
        <v>21</v>
      </c>
      <c r="P872" s="1">
        <v>21</v>
      </c>
      <c r="Q872" s="1" t="s">
        <v>16</v>
      </c>
      <c r="R872" s="1" t="str">
        <f>IF(N872="","",VLOOKUP(N872,Prior_levels,2,TRUE))</f>
        <v>H</v>
      </c>
    </row>
    <row r="873" spans="1:18" x14ac:dyDescent="0.2">
      <c r="A873" s="1" t="s">
        <v>112</v>
      </c>
      <c r="B873" s="1" t="s">
        <v>12</v>
      </c>
      <c r="C873" s="2">
        <v>41155</v>
      </c>
      <c r="D873" s="1">
        <v>10</v>
      </c>
      <c r="E873" s="1" t="s">
        <v>34</v>
      </c>
      <c r="I873" s="1" t="s">
        <v>12</v>
      </c>
      <c r="J873" s="1" t="s">
        <v>43</v>
      </c>
      <c r="K873" s="1" t="s">
        <v>57</v>
      </c>
      <c r="L873" s="1" t="s">
        <v>35</v>
      </c>
      <c r="M873" s="1" t="s">
        <v>35</v>
      </c>
      <c r="N873" s="1">
        <v>33.18</v>
      </c>
      <c r="O873" s="1" t="s">
        <v>22</v>
      </c>
      <c r="P873" s="1">
        <v>0.36</v>
      </c>
      <c r="Q873" s="1" t="s">
        <v>16</v>
      </c>
      <c r="R873" s="1" t="str">
        <f>IF(N873="","",VLOOKUP(N873,Prior_levels,2,TRUE))</f>
        <v>H</v>
      </c>
    </row>
    <row r="874" spans="1:18" x14ac:dyDescent="0.2">
      <c r="A874" s="1" t="s">
        <v>112</v>
      </c>
      <c r="B874" s="1" t="s">
        <v>12</v>
      </c>
      <c r="C874" s="2">
        <v>41155</v>
      </c>
      <c r="D874" s="1">
        <v>10</v>
      </c>
      <c r="E874" s="1" t="s">
        <v>34</v>
      </c>
      <c r="I874" s="1" t="s">
        <v>12</v>
      </c>
      <c r="J874" s="1" t="s">
        <v>43</v>
      </c>
      <c r="K874" s="1" t="s">
        <v>57</v>
      </c>
      <c r="L874" s="1" t="s">
        <v>35</v>
      </c>
      <c r="M874" s="1" t="s">
        <v>35</v>
      </c>
      <c r="N874" s="1">
        <v>33.18</v>
      </c>
      <c r="O874" s="1" t="s">
        <v>23</v>
      </c>
      <c r="P874" s="1">
        <v>0.34</v>
      </c>
      <c r="Q874" s="1" t="s">
        <v>16</v>
      </c>
      <c r="R874" s="1" t="str">
        <f>IF(N874="","",VLOOKUP(N874,Prior_levels,2,TRUE))</f>
        <v>H</v>
      </c>
    </row>
    <row r="875" spans="1:18" x14ac:dyDescent="0.2">
      <c r="A875" s="1" t="s">
        <v>112</v>
      </c>
      <c r="B875" s="1" t="s">
        <v>12</v>
      </c>
      <c r="C875" s="2">
        <v>41155</v>
      </c>
      <c r="D875" s="1">
        <v>10</v>
      </c>
      <c r="E875" s="1" t="s">
        <v>34</v>
      </c>
      <c r="I875" s="1" t="s">
        <v>12</v>
      </c>
      <c r="J875" s="1" t="s">
        <v>43</v>
      </c>
      <c r="K875" s="1" t="s">
        <v>57</v>
      </c>
      <c r="L875" s="1" t="s">
        <v>35</v>
      </c>
      <c r="M875" s="1" t="s">
        <v>35</v>
      </c>
      <c r="N875" s="1">
        <v>33.18</v>
      </c>
      <c r="O875" s="1" t="s">
        <v>25</v>
      </c>
      <c r="P875" s="1">
        <v>1.38</v>
      </c>
      <c r="Q875" s="1" t="s">
        <v>16</v>
      </c>
      <c r="R875" s="1" t="str">
        <f>IF(N875="","",VLOOKUP(N875,Prior_levels,2,TRUE))</f>
        <v>H</v>
      </c>
    </row>
    <row r="876" spans="1:18" x14ac:dyDescent="0.2">
      <c r="A876" s="1" t="s">
        <v>112</v>
      </c>
      <c r="B876" s="1" t="s">
        <v>12</v>
      </c>
      <c r="C876" s="2">
        <v>41155</v>
      </c>
      <c r="D876" s="1">
        <v>10</v>
      </c>
      <c r="E876" s="1" t="s">
        <v>34</v>
      </c>
      <c r="I876" s="1" t="s">
        <v>12</v>
      </c>
      <c r="J876" s="1" t="s">
        <v>43</v>
      </c>
      <c r="K876" s="1" t="s">
        <v>57</v>
      </c>
      <c r="L876" s="1" t="s">
        <v>35</v>
      </c>
      <c r="M876" s="1" t="s">
        <v>35</v>
      </c>
      <c r="N876" s="1">
        <v>33.18</v>
      </c>
      <c r="O876" s="1" t="s">
        <v>26</v>
      </c>
      <c r="P876" s="1">
        <v>12</v>
      </c>
      <c r="Q876" s="1" t="s">
        <v>16</v>
      </c>
      <c r="R876" s="1" t="str">
        <f>IF(N876="","",VLOOKUP(N876,Prior_levels,2,TRUE))</f>
        <v>H</v>
      </c>
    </row>
    <row r="877" spans="1:18" x14ac:dyDescent="0.2">
      <c r="A877" s="1" t="s">
        <v>112</v>
      </c>
      <c r="B877" s="1" t="s">
        <v>12</v>
      </c>
      <c r="C877" s="2">
        <v>41155</v>
      </c>
      <c r="D877" s="1">
        <v>10</v>
      </c>
      <c r="E877" s="1" t="s">
        <v>34</v>
      </c>
      <c r="I877" s="1" t="s">
        <v>12</v>
      </c>
      <c r="J877" s="1" t="s">
        <v>43</v>
      </c>
      <c r="K877" s="1" t="s">
        <v>57</v>
      </c>
      <c r="L877" s="1" t="s">
        <v>35</v>
      </c>
      <c r="M877" s="1" t="s">
        <v>35</v>
      </c>
      <c r="N877" s="1">
        <v>33.18</v>
      </c>
      <c r="O877" s="1" t="s">
        <v>24</v>
      </c>
      <c r="P877" s="1">
        <v>1.73</v>
      </c>
      <c r="Q877" s="1" t="s">
        <v>16</v>
      </c>
      <c r="R877" s="1" t="str">
        <f>IF(N877="","",VLOOKUP(N877,Prior_levels,2,TRUE))</f>
        <v>H</v>
      </c>
    </row>
    <row r="878" spans="1:18" x14ac:dyDescent="0.2">
      <c r="A878" s="1" t="s">
        <v>112</v>
      </c>
      <c r="B878" s="1" t="s">
        <v>12</v>
      </c>
      <c r="C878" s="2">
        <v>41155</v>
      </c>
      <c r="D878" s="1">
        <v>10</v>
      </c>
      <c r="E878" s="1" t="s">
        <v>34</v>
      </c>
      <c r="I878" s="1" t="s">
        <v>12</v>
      </c>
      <c r="J878" s="1" t="s">
        <v>43</v>
      </c>
      <c r="K878" s="1" t="s">
        <v>57</v>
      </c>
      <c r="L878" s="1" t="s">
        <v>35</v>
      </c>
      <c r="M878" s="1" t="s">
        <v>35</v>
      </c>
      <c r="N878" s="1">
        <v>33.18</v>
      </c>
      <c r="O878" s="1" t="s">
        <v>27</v>
      </c>
      <c r="P878" s="1" t="s">
        <v>37</v>
      </c>
      <c r="Q878" s="1" t="s">
        <v>16</v>
      </c>
      <c r="R878" s="1" t="str">
        <f>IF(N878="","",VLOOKUP(N878,Prior_levels,2,TRUE))</f>
        <v>H</v>
      </c>
    </row>
    <row r="879" spans="1:18" x14ac:dyDescent="0.2">
      <c r="A879" s="1" t="s">
        <v>112</v>
      </c>
      <c r="B879" s="1" t="s">
        <v>12</v>
      </c>
      <c r="C879" s="2">
        <v>41155</v>
      </c>
      <c r="D879" s="1">
        <v>10</v>
      </c>
      <c r="E879" s="1" t="s">
        <v>34</v>
      </c>
      <c r="I879" s="1" t="s">
        <v>12</v>
      </c>
      <c r="J879" s="1" t="s">
        <v>43</v>
      </c>
      <c r="K879" s="1" t="s">
        <v>57</v>
      </c>
      <c r="L879" s="1" t="s">
        <v>35</v>
      </c>
      <c r="M879" s="1" t="s">
        <v>35</v>
      </c>
      <c r="N879" s="1">
        <v>33.18</v>
      </c>
      <c r="O879" s="1" t="s">
        <v>29</v>
      </c>
      <c r="P879" s="1" t="s">
        <v>37</v>
      </c>
      <c r="Q879" s="1" t="s">
        <v>16</v>
      </c>
      <c r="R879" s="1" t="str">
        <f>IF(N879="","",VLOOKUP(N879,Prior_levels,2,TRUE))</f>
        <v>H</v>
      </c>
    </row>
    <row r="880" spans="1:18" x14ac:dyDescent="0.2">
      <c r="A880" s="1" t="s">
        <v>112</v>
      </c>
      <c r="B880" s="1" t="s">
        <v>12</v>
      </c>
      <c r="C880" s="2">
        <v>41155</v>
      </c>
      <c r="D880" s="1">
        <v>10</v>
      </c>
      <c r="E880" s="1" t="s">
        <v>34</v>
      </c>
      <c r="I880" s="1" t="s">
        <v>12</v>
      </c>
      <c r="J880" s="1" t="s">
        <v>43</v>
      </c>
      <c r="K880" s="1" t="s">
        <v>57</v>
      </c>
      <c r="L880" s="1" t="s">
        <v>35</v>
      </c>
      <c r="M880" s="1" t="s">
        <v>35</v>
      </c>
      <c r="N880" s="1">
        <v>33.18</v>
      </c>
      <c r="O880" s="1" t="s">
        <v>30</v>
      </c>
      <c r="P880" s="1" t="s">
        <v>37</v>
      </c>
      <c r="Q880" s="1" t="s">
        <v>16</v>
      </c>
      <c r="R880" s="1" t="str">
        <f>IF(N880="","",VLOOKUP(N880,Prior_levels,2,TRUE))</f>
        <v>H</v>
      </c>
    </row>
    <row r="881" spans="1:18" x14ac:dyDescent="0.2">
      <c r="A881" s="1" t="s">
        <v>112</v>
      </c>
      <c r="B881" s="1" t="s">
        <v>12</v>
      </c>
      <c r="C881" s="2">
        <v>41155</v>
      </c>
      <c r="D881" s="1">
        <v>10</v>
      </c>
      <c r="E881" s="1" t="s">
        <v>34</v>
      </c>
      <c r="I881" s="1" t="s">
        <v>12</v>
      </c>
      <c r="J881" s="1" t="s">
        <v>43</v>
      </c>
      <c r="K881" s="1" t="s">
        <v>57</v>
      </c>
      <c r="L881" s="1" t="s">
        <v>35</v>
      </c>
      <c r="M881" s="1" t="s">
        <v>35</v>
      </c>
      <c r="N881" s="1">
        <v>33.18</v>
      </c>
      <c r="O881" s="1" t="s">
        <v>31</v>
      </c>
      <c r="P881" s="1" t="s">
        <v>37</v>
      </c>
      <c r="Q881" s="1" t="s">
        <v>16</v>
      </c>
      <c r="R881" s="1" t="str">
        <f>IF(N881="","",VLOOKUP(N881,Prior_levels,2,TRUE))</f>
        <v>H</v>
      </c>
    </row>
    <row r="882" spans="1:18" x14ac:dyDescent="0.2">
      <c r="A882" s="1" t="s">
        <v>112</v>
      </c>
      <c r="B882" s="1" t="s">
        <v>12</v>
      </c>
      <c r="C882" s="2">
        <v>41155</v>
      </c>
      <c r="D882" s="1">
        <v>10</v>
      </c>
      <c r="E882" s="1" t="s">
        <v>34</v>
      </c>
      <c r="I882" s="1" t="s">
        <v>12</v>
      </c>
      <c r="J882" s="1" t="s">
        <v>43</v>
      </c>
      <c r="K882" s="1" t="s">
        <v>57</v>
      </c>
      <c r="L882" s="1" t="s">
        <v>35</v>
      </c>
      <c r="M882" s="1" t="s">
        <v>35</v>
      </c>
      <c r="N882" s="1">
        <v>33.18</v>
      </c>
      <c r="O882" s="1" t="s">
        <v>32</v>
      </c>
      <c r="P882" s="1" t="s">
        <v>37</v>
      </c>
      <c r="Q882" s="1" t="s">
        <v>16</v>
      </c>
      <c r="R882" s="1" t="str">
        <f>IF(N882="","",VLOOKUP(N882,Prior_levels,2,TRUE))</f>
        <v>H</v>
      </c>
    </row>
    <row r="883" spans="1:18" x14ac:dyDescent="0.2">
      <c r="A883" s="1" t="s">
        <v>113</v>
      </c>
      <c r="B883" s="1" t="s">
        <v>12</v>
      </c>
      <c r="C883" s="2">
        <v>41155</v>
      </c>
      <c r="D883" s="1">
        <v>10</v>
      </c>
      <c r="E883" s="1" t="s">
        <v>42</v>
      </c>
      <c r="I883" s="1" t="s">
        <v>12</v>
      </c>
      <c r="J883" s="1" t="s">
        <v>114</v>
      </c>
      <c r="K883" s="1" t="s">
        <v>14</v>
      </c>
      <c r="L883" s="1" t="s">
        <v>12</v>
      </c>
      <c r="M883" s="1" t="s">
        <v>12</v>
      </c>
      <c r="N883" s="1">
        <v>33.18</v>
      </c>
      <c r="O883" s="1" t="s">
        <v>15</v>
      </c>
      <c r="P883" s="1">
        <v>5.85</v>
      </c>
      <c r="Q883" s="1" t="s">
        <v>16</v>
      </c>
      <c r="R883" s="1" t="str">
        <f>IF(N883="","",VLOOKUP(N883,Prior_levels,2,TRUE))</f>
        <v>H</v>
      </c>
    </row>
    <row r="884" spans="1:18" x14ac:dyDescent="0.2">
      <c r="A884" s="1" t="s">
        <v>113</v>
      </c>
      <c r="B884" s="1" t="s">
        <v>12</v>
      </c>
      <c r="C884" s="2">
        <v>41155</v>
      </c>
      <c r="D884" s="1">
        <v>10</v>
      </c>
      <c r="E884" s="1" t="s">
        <v>42</v>
      </c>
      <c r="I884" s="1" t="s">
        <v>12</v>
      </c>
      <c r="J884" s="1" t="s">
        <v>114</v>
      </c>
      <c r="K884" s="1" t="s">
        <v>14</v>
      </c>
      <c r="L884" s="1" t="s">
        <v>12</v>
      </c>
      <c r="M884" s="1" t="s">
        <v>12</v>
      </c>
      <c r="N884" s="1">
        <v>33.18</v>
      </c>
      <c r="O884" s="1" t="s">
        <v>17</v>
      </c>
      <c r="P884" s="1">
        <v>-0.7</v>
      </c>
      <c r="Q884" s="1" t="s">
        <v>16</v>
      </c>
      <c r="R884" s="1" t="str">
        <f>IF(N884="","",VLOOKUP(N884,Prior_levels,2,TRUE))</f>
        <v>H</v>
      </c>
    </row>
    <row r="885" spans="1:18" x14ac:dyDescent="0.2">
      <c r="A885" s="1" t="s">
        <v>113</v>
      </c>
      <c r="B885" s="1" t="s">
        <v>12</v>
      </c>
      <c r="C885" s="2">
        <v>41155</v>
      </c>
      <c r="D885" s="1">
        <v>10</v>
      </c>
      <c r="E885" s="1" t="s">
        <v>42</v>
      </c>
      <c r="I885" s="1" t="s">
        <v>12</v>
      </c>
      <c r="J885" s="1" t="s">
        <v>114</v>
      </c>
      <c r="K885" s="1" t="s">
        <v>14</v>
      </c>
      <c r="L885" s="1" t="s">
        <v>12</v>
      </c>
      <c r="M885" s="1" t="s">
        <v>12</v>
      </c>
      <c r="N885" s="1">
        <v>33.18</v>
      </c>
      <c r="O885" s="1" t="s">
        <v>18</v>
      </c>
      <c r="P885" s="1">
        <v>14</v>
      </c>
      <c r="Q885" s="1" t="s">
        <v>16</v>
      </c>
      <c r="R885" s="1" t="str">
        <f>IF(N885="","",VLOOKUP(N885,Prior_levels,2,TRUE))</f>
        <v>H</v>
      </c>
    </row>
    <row r="886" spans="1:18" x14ac:dyDescent="0.2">
      <c r="A886" s="1" t="s">
        <v>113</v>
      </c>
      <c r="B886" s="1" t="s">
        <v>12</v>
      </c>
      <c r="C886" s="2">
        <v>41155</v>
      </c>
      <c r="D886" s="1">
        <v>10</v>
      </c>
      <c r="E886" s="1" t="s">
        <v>42</v>
      </c>
      <c r="I886" s="1" t="s">
        <v>12</v>
      </c>
      <c r="J886" s="1" t="s">
        <v>114</v>
      </c>
      <c r="K886" s="1" t="s">
        <v>14</v>
      </c>
      <c r="L886" s="1" t="s">
        <v>12</v>
      </c>
      <c r="M886" s="1" t="s">
        <v>12</v>
      </c>
      <c r="N886" s="1">
        <v>33.18</v>
      </c>
      <c r="O886" s="1" t="s">
        <v>19</v>
      </c>
      <c r="P886" s="1">
        <v>10</v>
      </c>
      <c r="Q886" s="1" t="s">
        <v>16</v>
      </c>
      <c r="R886" s="1" t="str">
        <f>IF(N886="","",VLOOKUP(N886,Prior_levels,2,TRUE))</f>
        <v>H</v>
      </c>
    </row>
    <row r="887" spans="1:18" x14ac:dyDescent="0.2">
      <c r="A887" s="1" t="s">
        <v>113</v>
      </c>
      <c r="B887" s="1" t="s">
        <v>12</v>
      </c>
      <c r="C887" s="2">
        <v>41155</v>
      </c>
      <c r="D887" s="1">
        <v>10</v>
      </c>
      <c r="E887" s="1" t="s">
        <v>42</v>
      </c>
      <c r="I887" s="1" t="s">
        <v>12</v>
      </c>
      <c r="J887" s="1" t="s">
        <v>114</v>
      </c>
      <c r="K887" s="1" t="s">
        <v>14</v>
      </c>
      <c r="L887" s="1" t="s">
        <v>12</v>
      </c>
      <c r="M887" s="1" t="s">
        <v>12</v>
      </c>
      <c r="N887" s="1">
        <v>33.18</v>
      </c>
      <c r="O887" s="1" t="s">
        <v>20</v>
      </c>
      <c r="P887" s="1">
        <v>18</v>
      </c>
      <c r="Q887" s="1" t="s">
        <v>16</v>
      </c>
      <c r="R887" s="1" t="str">
        <f>IF(N887="","",VLOOKUP(N887,Prior_levels,2,TRUE))</f>
        <v>H</v>
      </c>
    </row>
    <row r="888" spans="1:18" x14ac:dyDescent="0.2">
      <c r="A888" s="1" t="s">
        <v>113</v>
      </c>
      <c r="B888" s="1" t="s">
        <v>12</v>
      </c>
      <c r="C888" s="2">
        <v>41155</v>
      </c>
      <c r="D888" s="1">
        <v>10</v>
      </c>
      <c r="E888" s="1" t="s">
        <v>42</v>
      </c>
      <c r="I888" s="1" t="s">
        <v>12</v>
      </c>
      <c r="J888" s="1" t="s">
        <v>114</v>
      </c>
      <c r="K888" s="1" t="s">
        <v>14</v>
      </c>
      <c r="L888" s="1" t="s">
        <v>12</v>
      </c>
      <c r="M888" s="1" t="s">
        <v>12</v>
      </c>
      <c r="N888" s="1">
        <v>33.18</v>
      </c>
      <c r="O888" s="1" t="s">
        <v>21</v>
      </c>
      <c r="P888" s="1">
        <v>16.5</v>
      </c>
      <c r="Q888" s="1" t="s">
        <v>16</v>
      </c>
      <c r="R888" s="1" t="str">
        <f>IF(N888="","",VLOOKUP(N888,Prior_levels,2,TRUE))</f>
        <v>H</v>
      </c>
    </row>
    <row r="889" spans="1:18" x14ac:dyDescent="0.2">
      <c r="A889" s="1" t="s">
        <v>113</v>
      </c>
      <c r="B889" s="1" t="s">
        <v>12</v>
      </c>
      <c r="C889" s="2">
        <v>41155</v>
      </c>
      <c r="D889" s="1">
        <v>10</v>
      </c>
      <c r="E889" s="1" t="s">
        <v>42</v>
      </c>
      <c r="I889" s="1" t="s">
        <v>12</v>
      </c>
      <c r="J889" s="1" t="s">
        <v>114</v>
      </c>
      <c r="K889" s="1" t="s">
        <v>14</v>
      </c>
      <c r="L889" s="1" t="s">
        <v>12</v>
      </c>
      <c r="M889" s="1" t="s">
        <v>12</v>
      </c>
      <c r="N889" s="1">
        <v>33.18</v>
      </c>
      <c r="O889" s="1" t="s">
        <v>22</v>
      </c>
      <c r="P889" s="1">
        <v>0.36</v>
      </c>
      <c r="Q889" s="1" t="s">
        <v>16</v>
      </c>
      <c r="R889" s="1" t="str">
        <f>IF(N889="","",VLOOKUP(N889,Prior_levels,2,TRUE))</f>
        <v>H</v>
      </c>
    </row>
    <row r="890" spans="1:18" x14ac:dyDescent="0.2">
      <c r="A890" s="1" t="s">
        <v>113</v>
      </c>
      <c r="B890" s="1" t="s">
        <v>12</v>
      </c>
      <c r="C890" s="2">
        <v>41155</v>
      </c>
      <c r="D890" s="1">
        <v>10</v>
      </c>
      <c r="E890" s="1" t="s">
        <v>42</v>
      </c>
      <c r="I890" s="1" t="s">
        <v>12</v>
      </c>
      <c r="J890" s="1" t="s">
        <v>114</v>
      </c>
      <c r="K890" s="1" t="s">
        <v>14</v>
      </c>
      <c r="L890" s="1" t="s">
        <v>12</v>
      </c>
      <c r="M890" s="1" t="s">
        <v>12</v>
      </c>
      <c r="N890" s="1">
        <v>33.18</v>
      </c>
      <c r="O890" s="1" t="s">
        <v>23</v>
      </c>
      <c r="P890" s="1">
        <v>-1.66</v>
      </c>
      <c r="Q890" s="1" t="s">
        <v>16</v>
      </c>
      <c r="R890" s="1" t="str">
        <f>IF(N890="","",VLOOKUP(N890,Prior_levels,2,TRUE))</f>
        <v>H</v>
      </c>
    </row>
    <row r="891" spans="1:18" x14ac:dyDescent="0.2">
      <c r="A891" s="1" t="s">
        <v>113</v>
      </c>
      <c r="B891" s="1" t="s">
        <v>12</v>
      </c>
      <c r="C891" s="2">
        <v>41155</v>
      </c>
      <c r="D891" s="1">
        <v>10</v>
      </c>
      <c r="E891" s="1" t="s">
        <v>42</v>
      </c>
      <c r="I891" s="1" t="s">
        <v>12</v>
      </c>
      <c r="J891" s="1" t="s">
        <v>114</v>
      </c>
      <c r="K891" s="1" t="s">
        <v>14</v>
      </c>
      <c r="L891" s="1" t="s">
        <v>12</v>
      </c>
      <c r="M891" s="1" t="s">
        <v>12</v>
      </c>
      <c r="N891" s="1">
        <v>33.18</v>
      </c>
      <c r="O891" s="1" t="s">
        <v>24</v>
      </c>
      <c r="P891" s="1">
        <v>-1.27</v>
      </c>
      <c r="Q891" s="1" t="s">
        <v>16</v>
      </c>
      <c r="R891" s="1" t="str">
        <f>IF(N891="","",VLOOKUP(N891,Prior_levels,2,TRUE))</f>
        <v>H</v>
      </c>
    </row>
    <row r="892" spans="1:18" x14ac:dyDescent="0.2">
      <c r="A892" s="1" t="s">
        <v>113</v>
      </c>
      <c r="B892" s="1" t="s">
        <v>12</v>
      </c>
      <c r="C892" s="2">
        <v>41155</v>
      </c>
      <c r="D892" s="1">
        <v>10</v>
      </c>
      <c r="E892" s="1" t="s">
        <v>42</v>
      </c>
      <c r="I892" s="1" t="s">
        <v>12</v>
      </c>
      <c r="J892" s="1" t="s">
        <v>114</v>
      </c>
      <c r="K892" s="1" t="s">
        <v>14</v>
      </c>
      <c r="L892" s="1" t="s">
        <v>12</v>
      </c>
      <c r="M892" s="1" t="s">
        <v>12</v>
      </c>
      <c r="N892" s="1">
        <v>33.18</v>
      </c>
      <c r="O892" s="1" t="s">
        <v>25</v>
      </c>
      <c r="P892" s="1">
        <v>-3.12</v>
      </c>
      <c r="Q892" s="1" t="s">
        <v>16</v>
      </c>
      <c r="R892" s="1" t="str">
        <f>IF(N892="","",VLOOKUP(N892,Prior_levels,2,TRUE))</f>
        <v>H</v>
      </c>
    </row>
    <row r="893" spans="1:18" x14ac:dyDescent="0.2">
      <c r="A893" s="1" t="s">
        <v>113</v>
      </c>
      <c r="B893" s="1" t="s">
        <v>12</v>
      </c>
      <c r="C893" s="2">
        <v>41155</v>
      </c>
      <c r="D893" s="1">
        <v>10</v>
      </c>
      <c r="E893" s="1" t="s">
        <v>42</v>
      </c>
      <c r="I893" s="1" t="s">
        <v>12</v>
      </c>
      <c r="J893" s="1" t="s">
        <v>114</v>
      </c>
      <c r="K893" s="1" t="s">
        <v>14</v>
      </c>
      <c r="L893" s="1" t="s">
        <v>12</v>
      </c>
      <c r="M893" s="1" t="s">
        <v>12</v>
      </c>
      <c r="N893" s="1">
        <v>33.18</v>
      </c>
      <c r="O893" s="1" t="s">
        <v>26</v>
      </c>
      <c r="P893" s="1">
        <v>9</v>
      </c>
      <c r="Q893" s="1" t="s">
        <v>16</v>
      </c>
      <c r="R893" s="1" t="str">
        <f>IF(N893="","",VLOOKUP(N893,Prior_levels,2,TRUE))</f>
        <v>H</v>
      </c>
    </row>
    <row r="894" spans="1:18" x14ac:dyDescent="0.2">
      <c r="A894" s="1" t="s">
        <v>113</v>
      </c>
      <c r="B894" s="1" t="s">
        <v>12</v>
      </c>
      <c r="C894" s="2">
        <v>41155</v>
      </c>
      <c r="D894" s="1">
        <v>10</v>
      </c>
      <c r="E894" s="1" t="s">
        <v>42</v>
      </c>
      <c r="I894" s="1" t="s">
        <v>12</v>
      </c>
      <c r="J894" s="1" t="s">
        <v>114</v>
      </c>
      <c r="K894" s="1" t="s">
        <v>14</v>
      </c>
      <c r="L894" s="1" t="s">
        <v>12</v>
      </c>
      <c r="M894" s="1" t="s">
        <v>12</v>
      </c>
      <c r="N894" s="1">
        <v>33.18</v>
      </c>
      <c r="O894" s="1" t="s">
        <v>32</v>
      </c>
      <c r="P894" s="1" t="s">
        <v>37</v>
      </c>
      <c r="Q894" s="1" t="s">
        <v>16</v>
      </c>
      <c r="R894" s="1" t="str">
        <f>IF(N894="","",VLOOKUP(N894,Prior_levels,2,TRUE))</f>
        <v>H</v>
      </c>
    </row>
    <row r="895" spans="1:18" x14ac:dyDescent="0.2">
      <c r="A895" s="1" t="s">
        <v>113</v>
      </c>
      <c r="B895" s="1" t="s">
        <v>12</v>
      </c>
      <c r="C895" s="2">
        <v>41155</v>
      </c>
      <c r="D895" s="1">
        <v>10</v>
      </c>
      <c r="E895" s="1" t="s">
        <v>42</v>
      </c>
      <c r="I895" s="1" t="s">
        <v>12</v>
      </c>
      <c r="J895" s="1" t="s">
        <v>114</v>
      </c>
      <c r="K895" s="1" t="s">
        <v>14</v>
      </c>
      <c r="L895" s="1" t="s">
        <v>12</v>
      </c>
      <c r="M895" s="1" t="s">
        <v>12</v>
      </c>
      <c r="N895" s="1">
        <v>33.18</v>
      </c>
      <c r="O895" s="1" t="s">
        <v>27</v>
      </c>
      <c r="P895" s="1" t="s">
        <v>37</v>
      </c>
      <c r="Q895" s="1" t="s">
        <v>16</v>
      </c>
      <c r="R895" s="1" t="str">
        <f>IF(N895="","",VLOOKUP(N895,Prior_levels,2,TRUE))</f>
        <v>H</v>
      </c>
    </row>
    <row r="896" spans="1:18" x14ac:dyDescent="0.2">
      <c r="A896" s="1" t="s">
        <v>113</v>
      </c>
      <c r="B896" s="1" t="s">
        <v>12</v>
      </c>
      <c r="C896" s="2">
        <v>41155</v>
      </c>
      <c r="D896" s="1">
        <v>10</v>
      </c>
      <c r="E896" s="1" t="s">
        <v>42</v>
      </c>
      <c r="I896" s="1" t="s">
        <v>12</v>
      </c>
      <c r="J896" s="1" t="s">
        <v>114</v>
      </c>
      <c r="K896" s="1" t="s">
        <v>14</v>
      </c>
      <c r="L896" s="1" t="s">
        <v>12</v>
      </c>
      <c r="M896" s="1" t="s">
        <v>12</v>
      </c>
      <c r="N896" s="1">
        <v>33.18</v>
      </c>
      <c r="O896" s="1" t="s">
        <v>29</v>
      </c>
      <c r="P896" s="1" t="s">
        <v>37</v>
      </c>
      <c r="Q896" s="1" t="s">
        <v>16</v>
      </c>
      <c r="R896" s="1" t="str">
        <f>IF(N896="","",VLOOKUP(N896,Prior_levels,2,TRUE))</f>
        <v>H</v>
      </c>
    </row>
    <row r="897" spans="1:18" x14ac:dyDescent="0.2">
      <c r="A897" s="1" t="s">
        <v>113</v>
      </c>
      <c r="B897" s="1" t="s">
        <v>12</v>
      </c>
      <c r="C897" s="2">
        <v>41155</v>
      </c>
      <c r="D897" s="1">
        <v>10</v>
      </c>
      <c r="E897" s="1" t="s">
        <v>42</v>
      </c>
      <c r="I897" s="1" t="s">
        <v>12</v>
      </c>
      <c r="J897" s="1" t="s">
        <v>114</v>
      </c>
      <c r="K897" s="1" t="s">
        <v>14</v>
      </c>
      <c r="L897" s="1" t="s">
        <v>12</v>
      </c>
      <c r="M897" s="1" t="s">
        <v>12</v>
      </c>
      <c r="N897" s="1">
        <v>33.18</v>
      </c>
      <c r="O897" s="1" t="s">
        <v>30</v>
      </c>
      <c r="P897" s="1" t="s">
        <v>37</v>
      </c>
      <c r="Q897" s="1" t="s">
        <v>16</v>
      </c>
      <c r="R897" s="1" t="str">
        <f>IF(N897="","",VLOOKUP(N897,Prior_levels,2,TRUE))</f>
        <v>H</v>
      </c>
    </row>
    <row r="898" spans="1:18" x14ac:dyDescent="0.2">
      <c r="A898" s="1" t="s">
        <v>113</v>
      </c>
      <c r="B898" s="1" t="s">
        <v>12</v>
      </c>
      <c r="C898" s="2">
        <v>41155</v>
      </c>
      <c r="D898" s="1">
        <v>10</v>
      </c>
      <c r="E898" s="1" t="s">
        <v>42</v>
      </c>
      <c r="I898" s="1" t="s">
        <v>12</v>
      </c>
      <c r="J898" s="1" t="s">
        <v>114</v>
      </c>
      <c r="K898" s="1" t="s">
        <v>14</v>
      </c>
      <c r="L898" s="1" t="s">
        <v>12</v>
      </c>
      <c r="M898" s="1" t="s">
        <v>12</v>
      </c>
      <c r="N898" s="1">
        <v>33.18</v>
      </c>
      <c r="O898" s="1" t="s">
        <v>31</v>
      </c>
      <c r="P898" s="1" t="s">
        <v>37</v>
      </c>
      <c r="Q898" s="1" t="s">
        <v>16</v>
      </c>
      <c r="R898" s="1" t="str">
        <f>IF(N898="","",VLOOKUP(N898,Prior_levels,2,TRUE))</f>
        <v>H</v>
      </c>
    </row>
    <row r="899" spans="1:18" x14ac:dyDescent="0.2">
      <c r="A899" s="1" t="s">
        <v>115</v>
      </c>
      <c r="B899" s="1" t="s">
        <v>12</v>
      </c>
      <c r="C899" s="2">
        <v>41155</v>
      </c>
      <c r="D899" s="1">
        <v>10</v>
      </c>
      <c r="E899" s="1" t="s">
        <v>11</v>
      </c>
      <c r="I899" s="1" t="s">
        <v>12</v>
      </c>
      <c r="J899" s="1" t="s">
        <v>43</v>
      </c>
      <c r="K899" s="1" t="s">
        <v>14</v>
      </c>
      <c r="L899" s="1" t="s">
        <v>12</v>
      </c>
      <c r="M899" s="1" t="s">
        <v>12</v>
      </c>
      <c r="N899" s="1">
        <v>30.18</v>
      </c>
      <c r="O899" s="1" t="s">
        <v>15</v>
      </c>
      <c r="P899" s="1">
        <v>5.75</v>
      </c>
      <c r="Q899" s="1" t="s">
        <v>16</v>
      </c>
      <c r="R899" s="1" t="str">
        <f>IF(N899="","",VLOOKUP(N899,Prior_levels,2,TRUE))</f>
        <v>H</v>
      </c>
    </row>
    <row r="900" spans="1:18" x14ac:dyDescent="0.2">
      <c r="A900" s="1" t="s">
        <v>115</v>
      </c>
      <c r="B900" s="1" t="s">
        <v>12</v>
      </c>
      <c r="C900" s="2">
        <v>41155</v>
      </c>
      <c r="D900" s="1">
        <v>10</v>
      </c>
      <c r="E900" s="1" t="s">
        <v>11</v>
      </c>
      <c r="I900" s="1" t="s">
        <v>12</v>
      </c>
      <c r="J900" s="1" t="s">
        <v>43</v>
      </c>
      <c r="K900" s="1" t="s">
        <v>14</v>
      </c>
      <c r="L900" s="1" t="s">
        <v>12</v>
      </c>
      <c r="M900" s="1" t="s">
        <v>12</v>
      </c>
      <c r="N900" s="1">
        <v>30.18</v>
      </c>
      <c r="O900" s="1" t="s">
        <v>17</v>
      </c>
      <c r="P900" s="1">
        <v>0.16</v>
      </c>
      <c r="Q900" s="1" t="s">
        <v>16</v>
      </c>
      <c r="R900" s="1" t="str">
        <f>IF(N900="","",VLOOKUP(N900,Prior_levels,2,TRUE))</f>
        <v>H</v>
      </c>
    </row>
    <row r="901" spans="1:18" x14ac:dyDescent="0.2">
      <c r="A901" s="1" t="s">
        <v>115</v>
      </c>
      <c r="B901" s="1" t="s">
        <v>12</v>
      </c>
      <c r="C901" s="2">
        <v>41155</v>
      </c>
      <c r="D901" s="1">
        <v>10</v>
      </c>
      <c r="E901" s="1" t="s">
        <v>11</v>
      </c>
      <c r="I901" s="1" t="s">
        <v>12</v>
      </c>
      <c r="J901" s="1" t="s">
        <v>43</v>
      </c>
      <c r="K901" s="1" t="s">
        <v>14</v>
      </c>
      <c r="L901" s="1" t="s">
        <v>12</v>
      </c>
      <c r="M901" s="1" t="s">
        <v>12</v>
      </c>
      <c r="N901" s="1">
        <v>30.18</v>
      </c>
      <c r="O901" s="1" t="s">
        <v>18</v>
      </c>
      <c r="P901" s="1">
        <v>12</v>
      </c>
      <c r="Q901" s="1" t="s">
        <v>16</v>
      </c>
      <c r="R901" s="1" t="str">
        <f>IF(N901="","",VLOOKUP(N901,Prior_levels,2,TRUE))</f>
        <v>H</v>
      </c>
    </row>
    <row r="902" spans="1:18" x14ac:dyDescent="0.2">
      <c r="A902" s="1" t="s">
        <v>115</v>
      </c>
      <c r="B902" s="1" t="s">
        <v>12</v>
      </c>
      <c r="C902" s="2">
        <v>41155</v>
      </c>
      <c r="D902" s="1">
        <v>10</v>
      </c>
      <c r="E902" s="1" t="s">
        <v>11</v>
      </c>
      <c r="I902" s="1" t="s">
        <v>12</v>
      </c>
      <c r="J902" s="1" t="s">
        <v>43</v>
      </c>
      <c r="K902" s="1" t="s">
        <v>14</v>
      </c>
      <c r="L902" s="1" t="s">
        <v>12</v>
      </c>
      <c r="M902" s="1" t="s">
        <v>12</v>
      </c>
      <c r="N902" s="1">
        <v>30.18</v>
      </c>
      <c r="O902" s="1" t="s">
        <v>19</v>
      </c>
      <c r="P902" s="1">
        <v>12</v>
      </c>
      <c r="Q902" s="1" t="s">
        <v>16</v>
      </c>
      <c r="R902" s="1" t="str">
        <f>IF(N902="","",VLOOKUP(N902,Prior_levels,2,TRUE))</f>
        <v>H</v>
      </c>
    </row>
    <row r="903" spans="1:18" x14ac:dyDescent="0.2">
      <c r="A903" s="1" t="s">
        <v>115</v>
      </c>
      <c r="B903" s="1" t="s">
        <v>12</v>
      </c>
      <c r="C903" s="2">
        <v>41155</v>
      </c>
      <c r="D903" s="1">
        <v>10</v>
      </c>
      <c r="E903" s="1" t="s">
        <v>11</v>
      </c>
      <c r="I903" s="1" t="s">
        <v>12</v>
      </c>
      <c r="J903" s="1" t="s">
        <v>43</v>
      </c>
      <c r="K903" s="1" t="s">
        <v>14</v>
      </c>
      <c r="L903" s="1" t="s">
        <v>12</v>
      </c>
      <c r="M903" s="1" t="s">
        <v>12</v>
      </c>
      <c r="N903" s="1">
        <v>30.18</v>
      </c>
      <c r="O903" s="1" t="s">
        <v>20</v>
      </c>
      <c r="P903" s="1">
        <v>16.5</v>
      </c>
      <c r="Q903" s="1" t="s">
        <v>16</v>
      </c>
      <c r="R903" s="1" t="str">
        <f>IF(N903="","",VLOOKUP(N903,Prior_levels,2,TRUE))</f>
        <v>H</v>
      </c>
    </row>
    <row r="904" spans="1:18" x14ac:dyDescent="0.2">
      <c r="A904" s="1" t="s">
        <v>115</v>
      </c>
      <c r="B904" s="1" t="s">
        <v>12</v>
      </c>
      <c r="C904" s="2">
        <v>41155</v>
      </c>
      <c r="D904" s="1">
        <v>10</v>
      </c>
      <c r="E904" s="1" t="s">
        <v>11</v>
      </c>
      <c r="I904" s="1" t="s">
        <v>12</v>
      </c>
      <c r="J904" s="1" t="s">
        <v>43</v>
      </c>
      <c r="K904" s="1" t="s">
        <v>14</v>
      </c>
      <c r="L904" s="1" t="s">
        <v>12</v>
      </c>
      <c r="M904" s="1" t="s">
        <v>12</v>
      </c>
      <c r="N904" s="1">
        <v>30.18</v>
      </c>
      <c r="O904" s="1" t="s">
        <v>21</v>
      </c>
      <c r="P904" s="1">
        <v>17</v>
      </c>
      <c r="Q904" s="1" t="s">
        <v>16</v>
      </c>
      <c r="R904" s="1" t="str">
        <f>IF(N904="","",VLOOKUP(N904,Prior_levels,2,TRUE))</f>
        <v>H</v>
      </c>
    </row>
    <row r="905" spans="1:18" x14ac:dyDescent="0.2">
      <c r="A905" s="1" t="s">
        <v>115</v>
      </c>
      <c r="B905" s="1" t="s">
        <v>12</v>
      </c>
      <c r="C905" s="2">
        <v>41155</v>
      </c>
      <c r="D905" s="1">
        <v>10</v>
      </c>
      <c r="E905" s="1" t="s">
        <v>11</v>
      </c>
      <c r="I905" s="1" t="s">
        <v>12</v>
      </c>
      <c r="J905" s="1" t="s">
        <v>43</v>
      </c>
      <c r="K905" s="1" t="s">
        <v>14</v>
      </c>
      <c r="L905" s="1" t="s">
        <v>12</v>
      </c>
      <c r="M905" s="1" t="s">
        <v>12</v>
      </c>
      <c r="N905" s="1">
        <v>30.18</v>
      </c>
      <c r="O905" s="1" t="s">
        <v>22</v>
      </c>
      <c r="P905" s="1">
        <v>0.15</v>
      </c>
      <c r="Q905" s="1" t="s">
        <v>16</v>
      </c>
      <c r="R905" s="1" t="str">
        <f>IF(N905="","",VLOOKUP(N905,Prior_levels,2,TRUE))</f>
        <v>H</v>
      </c>
    </row>
    <row r="906" spans="1:18" x14ac:dyDescent="0.2">
      <c r="A906" s="1" t="s">
        <v>115</v>
      </c>
      <c r="B906" s="1" t="s">
        <v>12</v>
      </c>
      <c r="C906" s="2">
        <v>41155</v>
      </c>
      <c r="D906" s="1">
        <v>10</v>
      </c>
      <c r="E906" s="1" t="s">
        <v>11</v>
      </c>
      <c r="I906" s="1" t="s">
        <v>12</v>
      </c>
      <c r="J906" s="1" t="s">
        <v>43</v>
      </c>
      <c r="K906" s="1" t="s">
        <v>14</v>
      </c>
      <c r="L906" s="1" t="s">
        <v>12</v>
      </c>
      <c r="M906" s="1" t="s">
        <v>12</v>
      </c>
      <c r="N906" s="1">
        <v>30.18</v>
      </c>
      <c r="O906" s="1" t="s">
        <v>23</v>
      </c>
      <c r="P906" s="1">
        <v>0.37</v>
      </c>
      <c r="Q906" s="1" t="s">
        <v>16</v>
      </c>
      <c r="R906" s="1" t="str">
        <f>IF(N906="","",VLOOKUP(N906,Prior_levels,2,TRUE))</f>
        <v>H</v>
      </c>
    </row>
    <row r="907" spans="1:18" x14ac:dyDescent="0.2">
      <c r="A907" s="1" t="s">
        <v>115</v>
      </c>
      <c r="B907" s="1" t="s">
        <v>12</v>
      </c>
      <c r="C907" s="2">
        <v>41155</v>
      </c>
      <c r="D907" s="1">
        <v>10</v>
      </c>
      <c r="E907" s="1" t="s">
        <v>11</v>
      </c>
      <c r="I907" s="1" t="s">
        <v>12</v>
      </c>
      <c r="J907" s="1" t="s">
        <v>43</v>
      </c>
      <c r="K907" s="1" t="s">
        <v>14</v>
      </c>
      <c r="L907" s="1" t="s">
        <v>12</v>
      </c>
      <c r="M907" s="1" t="s">
        <v>12</v>
      </c>
      <c r="N907" s="1">
        <v>30.18</v>
      </c>
      <c r="O907" s="1" t="s">
        <v>25</v>
      </c>
      <c r="P907" s="1">
        <v>-0.21</v>
      </c>
      <c r="Q907" s="1" t="s">
        <v>16</v>
      </c>
      <c r="R907" s="1" t="str">
        <f>IF(N907="","",VLOOKUP(N907,Prior_levels,2,TRUE))</f>
        <v>H</v>
      </c>
    </row>
    <row r="908" spans="1:18" x14ac:dyDescent="0.2">
      <c r="A908" s="1" t="s">
        <v>115</v>
      </c>
      <c r="B908" s="1" t="s">
        <v>12</v>
      </c>
      <c r="C908" s="2">
        <v>41155</v>
      </c>
      <c r="D908" s="1">
        <v>10</v>
      </c>
      <c r="E908" s="1" t="s">
        <v>11</v>
      </c>
      <c r="I908" s="1" t="s">
        <v>12</v>
      </c>
      <c r="J908" s="1" t="s">
        <v>43</v>
      </c>
      <c r="K908" s="1" t="s">
        <v>14</v>
      </c>
      <c r="L908" s="1" t="s">
        <v>12</v>
      </c>
      <c r="M908" s="1" t="s">
        <v>12</v>
      </c>
      <c r="N908" s="1">
        <v>30.18</v>
      </c>
      <c r="O908" s="1" t="s">
        <v>26</v>
      </c>
      <c r="P908" s="1">
        <v>8</v>
      </c>
      <c r="Q908" s="1" t="s">
        <v>16</v>
      </c>
      <c r="R908" s="1" t="str">
        <f>IF(N908="","",VLOOKUP(N908,Prior_levels,2,TRUE))</f>
        <v>H</v>
      </c>
    </row>
    <row r="909" spans="1:18" x14ac:dyDescent="0.2">
      <c r="A909" s="1" t="s">
        <v>115</v>
      </c>
      <c r="B909" s="1" t="s">
        <v>12</v>
      </c>
      <c r="C909" s="2">
        <v>41155</v>
      </c>
      <c r="D909" s="1">
        <v>10</v>
      </c>
      <c r="E909" s="1" t="s">
        <v>11</v>
      </c>
      <c r="I909" s="1" t="s">
        <v>12</v>
      </c>
      <c r="J909" s="1" t="s">
        <v>43</v>
      </c>
      <c r="K909" s="1" t="s">
        <v>14</v>
      </c>
      <c r="L909" s="1" t="s">
        <v>12</v>
      </c>
      <c r="M909" s="1" t="s">
        <v>12</v>
      </c>
      <c r="N909" s="1">
        <v>30.18</v>
      </c>
      <c r="O909" s="1" t="s">
        <v>24</v>
      </c>
      <c r="P909" s="1">
        <v>0.79</v>
      </c>
      <c r="Q909" s="1" t="s">
        <v>16</v>
      </c>
      <c r="R909" s="1" t="str">
        <f>IF(N909="","",VLOOKUP(N909,Prior_levels,2,TRUE))</f>
        <v>H</v>
      </c>
    </row>
    <row r="910" spans="1:18" x14ac:dyDescent="0.2">
      <c r="A910" s="1" t="s">
        <v>115</v>
      </c>
      <c r="B910" s="1" t="s">
        <v>12</v>
      </c>
      <c r="C910" s="2">
        <v>41155</v>
      </c>
      <c r="D910" s="1">
        <v>10</v>
      </c>
      <c r="E910" s="1" t="s">
        <v>11</v>
      </c>
      <c r="I910" s="1" t="s">
        <v>12</v>
      </c>
      <c r="J910" s="1" t="s">
        <v>43</v>
      </c>
      <c r="K910" s="1" t="s">
        <v>14</v>
      </c>
      <c r="L910" s="1" t="s">
        <v>12</v>
      </c>
      <c r="M910" s="1" t="s">
        <v>12</v>
      </c>
      <c r="N910" s="1">
        <v>30.18</v>
      </c>
      <c r="O910" s="1" t="s">
        <v>32</v>
      </c>
      <c r="P910" s="1" t="s">
        <v>37</v>
      </c>
      <c r="Q910" s="1" t="s">
        <v>16</v>
      </c>
      <c r="R910" s="1" t="str">
        <f>IF(N910="","",VLOOKUP(N910,Prior_levels,2,TRUE))</f>
        <v>H</v>
      </c>
    </row>
    <row r="911" spans="1:18" x14ac:dyDescent="0.2">
      <c r="A911" s="1" t="s">
        <v>115</v>
      </c>
      <c r="B911" s="1" t="s">
        <v>12</v>
      </c>
      <c r="C911" s="2">
        <v>41155</v>
      </c>
      <c r="D911" s="1">
        <v>10</v>
      </c>
      <c r="E911" s="1" t="s">
        <v>11</v>
      </c>
      <c r="I911" s="1" t="s">
        <v>12</v>
      </c>
      <c r="J911" s="1" t="s">
        <v>43</v>
      </c>
      <c r="K911" s="1" t="s">
        <v>14</v>
      </c>
      <c r="L911" s="1" t="s">
        <v>12</v>
      </c>
      <c r="M911" s="1" t="s">
        <v>12</v>
      </c>
      <c r="N911" s="1">
        <v>30.18</v>
      </c>
      <c r="O911" s="1" t="s">
        <v>27</v>
      </c>
      <c r="P911" s="1" t="s">
        <v>37</v>
      </c>
      <c r="Q911" s="1" t="s">
        <v>16</v>
      </c>
      <c r="R911" s="1" t="str">
        <f>IF(N911="","",VLOOKUP(N911,Prior_levels,2,TRUE))</f>
        <v>H</v>
      </c>
    </row>
    <row r="912" spans="1:18" x14ac:dyDescent="0.2">
      <c r="A912" s="1" t="s">
        <v>115</v>
      </c>
      <c r="B912" s="1" t="s">
        <v>12</v>
      </c>
      <c r="C912" s="2">
        <v>41155</v>
      </c>
      <c r="D912" s="1">
        <v>10</v>
      </c>
      <c r="E912" s="1" t="s">
        <v>11</v>
      </c>
      <c r="I912" s="1" t="s">
        <v>12</v>
      </c>
      <c r="J912" s="1" t="s">
        <v>43</v>
      </c>
      <c r="K912" s="1" t="s">
        <v>14</v>
      </c>
      <c r="L912" s="1" t="s">
        <v>12</v>
      </c>
      <c r="M912" s="1" t="s">
        <v>12</v>
      </c>
      <c r="N912" s="1">
        <v>30.18</v>
      </c>
      <c r="O912" s="1" t="s">
        <v>29</v>
      </c>
      <c r="P912" s="1" t="s">
        <v>37</v>
      </c>
      <c r="Q912" s="1" t="s">
        <v>16</v>
      </c>
      <c r="R912" s="1" t="str">
        <f>IF(N912="","",VLOOKUP(N912,Prior_levels,2,TRUE))</f>
        <v>H</v>
      </c>
    </row>
    <row r="913" spans="1:18" x14ac:dyDescent="0.2">
      <c r="A913" s="1" t="s">
        <v>115</v>
      </c>
      <c r="B913" s="1" t="s">
        <v>12</v>
      </c>
      <c r="C913" s="2">
        <v>41155</v>
      </c>
      <c r="D913" s="1">
        <v>10</v>
      </c>
      <c r="E913" s="1" t="s">
        <v>11</v>
      </c>
      <c r="I913" s="1" t="s">
        <v>12</v>
      </c>
      <c r="J913" s="1" t="s">
        <v>43</v>
      </c>
      <c r="K913" s="1" t="s">
        <v>14</v>
      </c>
      <c r="L913" s="1" t="s">
        <v>12</v>
      </c>
      <c r="M913" s="1" t="s">
        <v>12</v>
      </c>
      <c r="N913" s="1">
        <v>30.18</v>
      </c>
      <c r="O913" s="1" t="s">
        <v>30</v>
      </c>
      <c r="P913" s="1" t="s">
        <v>37</v>
      </c>
      <c r="Q913" s="1" t="s">
        <v>16</v>
      </c>
      <c r="R913" s="1" t="str">
        <f>IF(N913="","",VLOOKUP(N913,Prior_levels,2,TRUE))</f>
        <v>H</v>
      </c>
    </row>
    <row r="914" spans="1:18" x14ac:dyDescent="0.2">
      <c r="A914" s="1" t="s">
        <v>115</v>
      </c>
      <c r="B914" s="1" t="s">
        <v>12</v>
      </c>
      <c r="C914" s="2">
        <v>41155</v>
      </c>
      <c r="D914" s="1">
        <v>10</v>
      </c>
      <c r="E914" s="1" t="s">
        <v>11</v>
      </c>
      <c r="I914" s="1" t="s">
        <v>12</v>
      </c>
      <c r="J914" s="1" t="s">
        <v>43</v>
      </c>
      <c r="K914" s="1" t="s">
        <v>14</v>
      </c>
      <c r="L914" s="1" t="s">
        <v>12</v>
      </c>
      <c r="M914" s="1" t="s">
        <v>12</v>
      </c>
      <c r="N914" s="1">
        <v>30.18</v>
      </c>
      <c r="O914" s="1" t="s">
        <v>31</v>
      </c>
      <c r="P914" s="1" t="s">
        <v>28</v>
      </c>
      <c r="Q914" s="1" t="s">
        <v>16</v>
      </c>
      <c r="R914" s="1" t="str">
        <f>IF(N914="","",VLOOKUP(N914,Prior_levels,2,TRUE))</f>
        <v>H</v>
      </c>
    </row>
    <row r="915" spans="1:18" x14ac:dyDescent="0.2">
      <c r="A915" s="1" t="s">
        <v>116</v>
      </c>
      <c r="B915" s="1" t="s">
        <v>12</v>
      </c>
      <c r="C915" s="2">
        <v>41155</v>
      </c>
      <c r="D915" s="1">
        <v>10</v>
      </c>
      <c r="E915" s="1" t="s">
        <v>52</v>
      </c>
      <c r="I915" s="1" t="s">
        <v>12</v>
      </c>
      <c r="J915" s="1" t="s">
        <v>74</v>
      </c>
      <c r="K915" s="1" t="s">
        <v>14</v>
      </c>
      <c r="L915" s="1" t="s">
        <v>12</v>
      </c>
      <c r="M915" s="1" t="s">
        <v>12</v>
      </c>
      <c r="N915" s="1">
        <v>27.12</v>
      </c>
      <c r="O915" s="1" t="s">
        <v>15</v>
      </c>
      <c r="P915" s="1">
        <v>4.5</v>
      </c>
      <c r="Q915" s="1" t="s">
        <v>16</v>
      </c>
      <c r="R915" s="1" t="str">
        <f>IF(N915="","",VLOOKUP(N915,Prior_levels,2,TRUE))</f>
        <v>M</v>
      </c>
    </row>
    <row r="916" spans="1:18" x14ac:dyDescent="0.2">
      <c r="A916" s="1" t="s">
        <v>116</v>
      </c>
      <c r="B916" s="1" t="s">
        <v>12</v>
      </c>
      <c r="C916" s="2">
        <v>41155</v>
      </c>
      <c r="D916" s="1">
        <v>10</v>
      </c>
      <c r="E916" s="1" t="s">
        <v>52</v>
      </c>
      <c r="I916" s="1" t="s">
        <v>12</v>
      </c>
      <c r="J916" s="1" t="s">
        <v>74</v>
      </c>
      <c r="K916" s="1" t="s">
        <v>14</v>
      </c>
      <c r="L916" s="1" t="s">
        <v>12</v>
      </c>
      <c r="M916" s="1" t="s">
        <v>12</v>
      </c>
      <c r="N916" s="1">
        <v>27.12</v>
      </c>
      <c r="O916" s="1" t="s">
        <v>17</v>
      </c>
      <c r="P916" s="1">
        <v>-0.05</v>
      </c>
      <c r="Q916" s="1" t="s">
        <v>16</v>
      </c>
      <c r="R916" s="1" t="str">
        <f>IF(N916="","",VLOOKUP(N916,Prior_levels,2,TRUE))</f>
        <v>M</v>
      </c>
    </row>
    <row r="917" spans="1:18" x14ac:dyDescent="0.2">
      <c r="A917" s="1" t="s">
        <v>116</v>
      </c>
      <c r="B917" s="1" t="s">
        <v>12</v>
      </c>
      <c r="C917" s="2">
        <v>41155</v>
      </c>
      <c r="D917" s="1">
        <v>10</v>
      </c>
      <c r="E917" s="1" t="s">
        <v>52</v>
      </c>
      <c r="I917" s="1" t="s">
        <v>12</v>
      </c>
      <c r="J917" s="1" t="s">
        <v>74</v>
      </c>
      <c r="K917" s="1" t="s">
        <v>14</v>
      </c>
      <c r="L917" s="1" t="s">
        <v>12</v>
      </c>
      <c r="M917" s="1" t="s">
        <v>12</v>
      </c>
      <c r="N917" s="1">
        <v>27.12</v>
      </c>
      <c r="O917" s="1" t="s">
        <v>18</v>
      </c>
      <c r="P917" s="1">
        <v>10</v>
      </c>
      <c r="Q917" s="1" t="s">
        <v>16</v>
      </c>
      <c r="R917" s="1" t="str">
        <f>IF(N917="","",VLOOKUP(N917,Prior_levels,2,TRUE))</f>
        <v>M</v>
      </c>
    </row>
    <row r="918" spans="1:18" x14ac:dyDescent="0.2">
      <c r="A918" s="1" t="s">
        <v>116</v>
      </c>
      <c r="B918" s="1" t="s">
        <v>12</v>
      </c>
      <c r="C918" s="2">
        <v>41155</v>
      </c>
      <c r="D918" s="1">
        <v>10</v>
      </c>
      <c r="E918" s="1" t="s">
        <v>52</v>
      </c>
      <c r="I918" s="1" t="s">
        <v>12</v>
      </c>
      <c r="J918" s="1" t="s">
        <v>74</v>
      </c>
      <c r="K918" s="1" t="s">
        <v>14</v>
      </c>
      <c r="L918" s="1" t="s">
        <v>12</v>
      </c>
      <c r="M918" s="1" t="s">
        <v>12</v>
      </c>
      <c r="N918" s="1">
        <v>27.12</v>
      </c>
      <c r="O918" s="1" t="s">
        <v>19</v>
      </c>
      <c r="P918" s="1">
        <v>10</v>
      </c>
      <c r="Q918" s="1" t="s">
        <v>16</v>
      </c>
      <c r="R918" s="1" t="str">
        <f>IF(N918="","",VLOOKUP(N918,Prior_levels,2,TRUE))</f>
        <v>M</v>
      </c>
    </row>
    <row r="919" spans="1:18" x14ac:dyDescent="0.2">
      <c r="A919" s="1" t="s">
        <v>116</v>
      </c>
      <c r="B919" s="1" t="s">
        <v>12</v>
      </c>
      <c r="C919" s="2">
        <v>41155</v>
      </c>
      <c r="D919" s="1">
        <v>10</v>
      </c>
      <c r="E919" s="1" t="s">
        <v>52</v>
      </c>
      <c r="I919" s="1" t="s">
        <v>12</v>
      </c>
      <c r="J919" s="1" t="s">
        <v>74</v>
      </c>
      <c r="K919" s="1" t="s">
        <v>14</v>
      </c>
      <c r="L919" s="1" t="s">
        <v>12</v>
      </c>
      <c r="M919" s="1" t="s">
        <v>12</v>
      </c>
      <c r="N919" s="1">
        <v>27.12</v>
      </c>
      <c r="O919" s="1" t="s">
        <v>20</v>
      </c>
      <c r="P919" s="1">
        <v>12</v>
      </c>
      <c r="Q919" s="1" t="s">
        <v>16</v>
      </c>
      <c r="R919" s="1" t="str">
        <f>IF(N919="","",VLOOKUP(N919,Prior_levels,2,TRUE))</f>
        <v>M</v>
      </c>
    </row>
    <row r="920" spans="1:18" x14ac:dyDescent="0.2">
      <c r="A920" s="1" t="s">
        <v>116</v>
      </c>
      <c r="B920" s="1" t="s">
        <v>12</v>
      </c>
      <c r="C920" s="2">
        <v>41155</v>
      </c>
      <c r="D920" s="1">
        <v>10</v>
      </c>
      <c r="E920" s="1" t="s">
        <v>52</v>
      </c>
      <c r="I920" s="1" t="s">
        <v>12</v>
      </c>
      <c r="J920" s="1" t="s">
        <v>74</v>
      </c>
      <c r="K920" s="1" t="s">
        <v>14</v>
      </c>
      <c r="L920" s="1" t="s">
        <v>12</v>
      </c>
      <c r="M920" s="1" t="s">
        <v>12</v>
      </c>
      <c r="N920" s="1">
        <v>27.12</v>
      </c>
      <c r="O920" s="1" t="s">
        <v>21</v>
      </c>
      <c r="P920" s="1">
        <v>13</v>
      </c>
      <c r="Q920" s="1" t="s">
        <v>16</v>
      </c>
      <c r="R920" s="1" t="str">
        <f>IF(N920="","",VLOOKUP(N920,Prior_levels,2,TRUE))</f>
        <v>M</v>
      </c>
    </row>
    <row r="921" spans="1:18" x14ac:dyDescent="0.2">
      <c r="A921" s="1" t="s">
        <v>116</v>
      </c>
      <c r="B921" s="1" t="s">
        <v>12</v>
      </c>
      <c r="C921" s="2">
        <v>41155</v>
      </c>
      <c r="D921" s="1">
        <v>10</v>
      </c>
      <c r="E921" s="1" t="s">
        <v>52</v>
      </c>
      <c r="I921" s="1" t="s">
        <v>12</v>
      </c>
      <c r="J921" s="1" t="s">
        <v>74</v>
      </c>
      <c r="K921" s="1" t="s">
        <v>14</v>
      </c>
      <c r="L921" s="1" t="s">
        <v>12</v>
      </c>
      <c r="M921" s="1" t="s">
        <v>12</v>
      </c>
      <c r="N921" s="1">
        <v>27.12</v>
      </c>
      <c r="O921" s="1" t="s">
        <v>22</v>
      </c>
      <c r="P921" s="1">
        <v>-0.05</v>
      </c>
      <c r="Q921" s="1" t="s">
        <v>16</v>
      </c>
      <c r="R921" s="1" t="str">
        <f>IF(N921="","",VLOOKUP(N921,Prior_levels,2,TRUE))</f>
        <v>M</v>
      </c>
    </row>
    <row r="922" spans="1:18" x14ac:dyDescent="0.2">
      <c r="A922" s="1" t="s">
        <v>116</v>
      </c>
      <c r="B922" s="1" t="s">
        <v>12</v>
      </c>
      <c r="C922" s="2">
        <v>41155</v>
      </c>
      <c r="D922" s="1">
        <v>10</v>
      </c>
      <c r="E922" s="1" t="s">
        <v>52</v>
      </c>
      <c r="I922" s="1" t="s">
        <v>12</v>
      </c>
      <c r="J922" s="1" t="s">
        <v>74</v>
      </c>
      <c r="K922" s="1" t="s">
        <v>14</v>
      </c>
      <c r="L922" s="1" t="s">
        <v>12</v>
      </c>
      <c r="M922" s="1" t="s">
        <v>12</v>
      </c>
      <c r="N922" s="1">
        <v>27.12</v>
      </c>
      <c r="O922" s="1" t="s">
        <v>23</v>
      </c>
      <c r="P922" s="1">
        <v>0.36</v>
      </c>
      <c r="Q922" s="1" t="s">
        <v>16</v>
      </c>
      <c r="R922" s="1" t="str">
        <f>IF(N922="","",VLOOKUP(N922,Prior_levels,2,TRUE))</f>
        <v>M</v>
      </c>
    </row>
    <row r="923" spans="1:18" x14ac:dyDescent="0.2">
      <c r="A923" s="1" t="s">
        <v>116</v>
      </c>
      <c r="B923" s="1" t="s">
        <v>12</v>
      </c>
      <c r="C923" s="2">
        <v>41155</v>
      </c>
      <c r="D923" s="1">
        <v>10</v>
      </c>
      <c r="E923" s="1" t="s">
        <v>52</v>
      </c>
      <c r="I923" s="1" t="s">
        <v>12</v>
      </c>
      <c r="J923" s="1" t="s">
        <v>74</v>
      </c>
      <c r="K923" s="1" t="s">
        <v>14</v>
      </c>
      <c r="L923" s="1" t="s">
        <v>12</v>
      </c>
      <c r="M923" s="1" t="s">
        <v>12</v>
      </c>
      <c r="N923" s="1">
        <v>27.12</v>
      </c>
      <c r="O923" s="1" t="s">
        <v>24</v>
      </c>
      <c r="P923" s="1">
        <v>0.75</v>
      </c>
      <c r="Q923" s="1" t="s">
        <v>16</v>
      </c>
      <c r="R923" s="1" t="str">
        <f>IF(N923="","",VLOOKUP(N923,Prior_levels,2,TRUE))</f>
        <v>M</v>
      </c>
    </row>
    <row r="924" spans="1:18" x14ac:dyDescent="0.2">
      <c r="A924" s="1" t="s">
        <v>116</v>
      </c>
      <c r="B924" s="1" t="s">
        <v>12</v>
      </c>
      <c r="C924" s="2">
        <v>41155</v>
      </c>
      <c r="D924" s="1">
        <v>10</v>
      </c>
      <c r="E924" s="1" t="s">
        <v>52</v>
      </c>
      <c r="I924" s="1" t="s">
        <v>12</v>
      </c>
      <c r="J924" s="1" t="s">
        <v>74</v>
      </c>
      <c r="K924" s="1" t="s">
        <v>14</v>
      </c>
      <c r="L924" s="1" t="s">
        <v>12</v>
      </c>
      <c r="M924" s="1" t="s">
        <v>12</v>
      </c>
      <c r="N924" s="1">
        <v>27.12</v>
      </c>
      <c r="O924" s="1" t="s">
        <v>25</v>
      </c>
      <c r="P924" s="1">
        <v>-1.89</v>
      </c>
      <c r="Q924" s="1" t="s">
        <v>16</v>
      </c>
      <c r="R924" s="1" t="str">
        <f>IF(N924="","",VLOOKUP(N924,Prior_levels,2,TRUE))</f>
        <v>M</v>
      </c>
    </row>
    <row r="925" spans="1:18" x14ac:dyDescent="0.2">
      <c r="A925" s="1" t="s">
        <v>116</v>
      </c>
      <c r="B925" s="1" t="s">
        <v>12</v>
      </c>
      <c r="C925" s="2">
        <v>41155</v>
      </c>
      <c r="D925" s="1">
        <v>10</v>
      </c>
      <c r="E925" s="1" t="s">
        <v>52</v>
      </c>
      <c r="I925" s="1" t="s">
        <v>12</v>
      </c>
      <c r="J925" s="1" t="s">
        <v>74</v>
      </c>
      <c r="K925" s="1" t="s">
        <v>14</v>
      </c>
      <c r="L925" s="1" t="s">
        <v>12</v>
      </c>
      <c r="M925" s="1" t="s">
        <v>12</v>
      </c>
      <c r="N925" s="1">
        <v>27.12</v>
      </c>
      <c r="O925" s="1" t="s">
        <v>26</v>
      </c>
      <c r="P925" s="1">
        <v>9</v>
      </c>
      <c r="Q925" s="1" t="s">
        <v>16</v>
      </c>
      <c r="R925" s="1" t="str">
        <f>IF(N925="","",VLOOKUP(N925,Prior_levels,2,TRUE))</f>
        <v>M</v>
      </c>
    </row>
    <row r="926" spans="1:18" x14ac:dyDescent="0.2">
      <c r="A926" s="1" t="s">
        <v>116</v>
      </c>
      <c r="B926" s="1" t="s">
        <v>12</v>
      </c>
      <c r="C926" s="2">
        <v>41155</v>
      </c>
      <c r="D926" s="1">
        <v>10</v>
      </c>
      <c r="E926" s="1" t="s">
        <v>52</v>
      </c>
      <c r="I926" s="1" t="s">
        <v>12</v>
      </c>
      <c r="J926" s="1" t="s">
        <v>74</v>
      </c>
      <c r="K926" s="1" t="s">
        <v>14</v>
      </c>
      <c r="L926" s="1" t="s">
        <v>12</v>
      </c>
      <c r="M926" s="1" t="s">
        <v>12</v>
      </c>
      <c r="N926" s="1">
        <v>27.12</v>
      </c>
      <c r="O926" s="1" t="s">
        <v>27</v>
      </c>
      <c r="P926" s="1" t="s">
        <v>37</v>
      </c>
      <c r="Q926" s="1" t="s">
        <v>16</v>
      </c>
      <c r="R926" s="1" t="str">
        <f>IF(N926="","",VLOOKUP(N926,Prior_levels,2,TRUE))</f>
        <v>M</v>
      </c>
    </row>
    <row r="927" spans="1:18" x14ac:dyDescent="0.2">
      <c r="A927" s="1" t="s">
        <v>116</v>
      </c>
      <c r="B927" s="1" t="s">
        <v>12</v>
      </c>
      <c r="C927" s="2">
        <v>41155</v>
      </c>
      <c r="D927" s="1">
        <v>10</v>
      </c>
      <c r="E927" s="1" t="s">
        <v>52</v>
      </c>
      <c r="I927" s="1" t="s">
        <v>12</v>
      </c>
      <c r="J927" s="1" t="s">
        <v>74</v>
      </c>
      <c r="K927" s="1" t="s">
        <v>14</v>
      </c>
      <c r="L927" s="1" t="s">
        <v>12</v>
      </c>
      <c r="M927" s="1" t="s">
        <v>12</v>
      </c>
      <c r="N927" s="1">
        <v>27.12</v>
      </c>
      <c r="O927" s="1" t="s">
        <v>29</v>
      </c>
      <c r="P927" s="1" t="s">
        <v>37</v>
      </c>
      <c r="Q927" s="1" t="s">
        <v>16</v>
      </c>
      <c r="R927" s="1" t="str">
        <f>IF(N927="","",VLOOKUP(N927,Prior_levels,2,TRUE))</f>
        <v>M</v>
      </c>
    </row>
    <row r="928" spans="1:18" x14ac:dyDescent="0.2">
      <c r="A928" s="1" t="s">
        <v>116</v>
      </c>
      <c r="B928" s="1" t="s">
        <v>12</v>
      </c>
      <c r="C928" s="2">
        <v>41155</v>
      </c>
      <c r="D928" s="1">
        <v>10</v>
      </c>
      <c r="E928" s="1" t="s">
        <v>52</v>
      </c>
      <c r="I928" s="1" t="s">
        <v>12</v>
      </c>
      <c r="J928" s="1" t="s">
        <v>74</v>
      </c>
      <c r="K928" s="1" t="s">
        <v>14</v>
      </c>
      <c r="L928" s="1" t="s">
        <v>12</v>
      </c>
      <c r="M928" s="1" t="s">
        <v>12</v>
      </c>
      <c r="N928" s="1">
        <v>27.12</v>
      </c>
      <c r="O928" s="1" t="s">
        <v>30</v>
      </c>
      <c r="P928" s="1" t="s">
        <v>37</v>
      </c>
      <c r="Q928" s="1" t="s">
        <v>16</v>
      </c>
      <c r="R928" s="1" t="str">
        <f>IF(N928="","",VLOOKUP(N928,Prior_levels,2,TRUE))</f>
        <v>M</v>
      </c>
    </row>
    <row r="929" spans="1:18" x14ac:dyDescent="0.2">
      <c r="A929" s="1" t="s">
        <v>116</v>
      </c>
      <c r="B929" s="1" t="s">
        <v>12</v>
      </c>
      <c r="C929" s="2">
        <v>41155</v>
      </c>
      <c r="D929" s="1">
        <v>10</v>
      </c>
      <c r="E929" s="1" t="s">
        <v>52</v>
      </c>
      <c r="I929" s="1" t="s">
        <v>12</v>
      </c>
      <c r="J929" s="1" t="s">
        <v>74</v>
      </c>
      <c r="K929" s="1" t="s">
        <v>14</v>
      </c>
      <c r="L929" s="1" t="s">
        <v>12</v>
      </c>
      <c r="M929" s="1" t="s">
        <v>12</v>
      </c>
      <c r="N929" s="1">
        <v>27.12</v>
      </c>
      <c r="O929" s="1" t="s">
        <v>31</v>
      </c>
      <c r="P929" s="1" t="s">
        <v>37</v>
      </c>
      <c r="Q929" s="1" t="s">
        <v>16</v>
      </c>
      <c r="R929" s="1" t="str">
        <f>IF(N929="","",VLOOKUP(N929,Prior_levels,2,TRUE))</f>
        <v>M</v>
      </c>
    </row>
    <row r="930" spans="1:18" x14ac:dyDescent="0.2">
      <c r="A930" s="1" t="s">
        <v>116</v>
      </c>
      <c r="B930" s="1" t="s">
        <v>12</v>
      </c>
      <c r="C930" s="2">
        <v>41155</v>
      </c>
      <c r="D930" s="1">
        <v>10</v>
      </c>
      <c r="E930" s="1" t="s">
        <v>52</v>
      </c>
      <c r="I930" s="1" t="s">
        <v>12</v>
      </c>
      <c r="J930" s="1" t="s">
        <v>74</v>
      </c>
      <c r="K930" s="1" t="s">
        <v>14</v>
      </c>
      <c r="L930" s="1" t="s">
        <v>12</v>
      </c>
      <c r="M930" s="1" t="s">
        <v>12</v>
      </c>
      <c r="N930" s="1">
        <v>27.12</v>
      </c>
      <c r="O930" s="1" t="s">
        <v>32</v>
      </c>
      <c r="P930" s="1" t="s">
        <v>37</v>
      </c>
      <c r="Q930" s="1" t="s">
        <v>16</v>
      </c>
      <c r="R930" s="1" t="str">
        <f>IF(N930="","",VLOOKUP(N930,Prior_levels,2,TRUE))</f>
        <v>M</v>
      </c>
    </row>
    <row r="931" spans="1:18" x14ac:dyDescent="0.2">
      <c r="A931" s="1" t="s">
        <v>117</v>
      </c>
      <c r="B931" s="1" t="s">
        <v>12</v>
      </c>
      <c r="C931" s="2">
        <v>41155</v>
      </c>
      <c r="D931" s="1">
        <v>10</v>
      </c>
      <c r="E931" s="1" t="s">
        <v>39</v>
      </c>
      <c r="F931" s="1" t="s">
        <v>28</v>
      </c>
      <c r="H931" s="1" t="s">
        <v>48</v>
      </c>
      <c r="I931" s="1" t="s">
        <v>12</v>
      </c>
      <c r="J931" s="1" t="s">
        <v>74</v>
      </c>
      <c r="K931" s="1" t="s">
        <v>118</v>
      </c>
      <c r="L931" s="1" t="s">
        <v>12</v>
      </c>
      <c r="M931" s="1" t="s">
        <v>12</v>
      </c>
      <c r="N931" s="1">
        <v>30.18</v>
      </c>
      <c r="O931" s="1" t="s">
        <v>15</v>
      </c>
      <c r="P931" s="1">
        <v>4.0999999999999996</v>
      </c>
      <c r="Q931" s="1" t="s">
        <v>16</v>
      </c>
      <c r="R931" s="1" t="str">
        <f>IF(N931="","",VLOOKUP(N931,Prior_levels,2,TRUE))</f>
        <v>H</v>
      </c>
    </row>
    <row r="932" spans="1:18" x14ac:dyDescent="0.2">
      <c r="A932" s="1" t="s">
        <v>117</v>
      </c>
      <c r="B932" s="1" t="s">
        <v>12</v>
      </c>
      <c r="C932" s="2">
        <v>41155</v>
      </c>
      <c r="D932" s="1">
        <v>10</v>
      </c>
      <c r="E932" s="1" t="s">
        <v>39</v>
      </c>
      <c r="F932" s="1" t="s">
        <v>28</v>
      </c>
      <c r="H932" s="1" t="s">
        <v>48</v>
      </c>
      <c r="I932" s="1" t="s">
        <v>12</v>
      </c>
      <c r="J932" s="1" t="s">
        <v>74</v>
      </c>
      <c r="K932" s="1" t="s">
        <v>118</v>
      </c>
      <c r="L932" s="1" t="s">
        <v>12</v>
      </c>
      <c r="M932" s="1" t="s">
        <v>12</v>
      </c>
      <c r="N932" s="1">
        <v>30.18</v>
      </c>
      <c r="O932" s="1" t="s">
        <v>17</v>
      </c>
      <c r="P932" s="1">
        <v>-1.49</v>
      </c>
      <c r="Q932" s="1" t="s">
        <v>16</v>
      </c>
      <c r="R932" s="1" t="str">
        <f>IF(N932="","",VLOOKUP(N932,Prior_levels,2,TRUE))</f>
        <v>H</v>
      </c>
    </row>
    <row r="933" spans="1:18" x14ac:dyDescent="0.2">
      <c r="A933" s="1" t="s">
        <v>117</v>
      </c>
      <c r="B933" s="1" t="s">
        <v>12</v>
      </c>
      <c r="C933" s="2">
        <v>41155</v>
      </c>
      <c r="D933" s="1">
        <v>10</v>
      </c>
      <c r="E933" s="1" t="s">
        <v>39</v>
      </c>
      <c r="F933" s="1" t="s">
        <v>28</v>
      </c>
      <c r="H933" s="1" t="s">
        <v>48</v>
      </c>
      <c r="I933" s="1" t="s">
        <v>12</v>
      </c>
      <c r="J933" s="1" t="s">
        <v>74</v>
      </c>
      <c r="K933" s="1" t="s">
        <v>118</v>
      </c>
      <c r="L933" s="1" t="s">
        <v>12</v>
      </c>
      <c r="M933" s="1" t="s">
        <v>12</v>
      </c>
      <c r="N933" s="1">
        <v>30.18</v>
      </c>
      <c r="O933" s="1" t="s">
        <v>18</v>
      </c>
      <c r="P933" s="1">
        <v>8</v>
      </c>
      <c r="Q933" s="1" t="s">
        <v>16</v>
      </c>
      <c r="R933" s="1" t="str">
        <f>IF(N933="","",VLOOKUP(N933,Prior_levels,2,TRUE))</f>
        <v>H</v>
      </c>
    </row>
    <row r="934" spans="1:18" x14ac:dyDescent="0.2">
      <c r="A934" s="1" t="s">
        <v>117</v>
      </c>
      <c r="B934" s="1" t="s">
        <v>12</v>
      </c>
      <c r="C934" s="2">
        <v>41155</v>
      </c>
      <c r="D934" s="1">
        <v>10</v>
      </c>
      <c r="E934" s="1" t="s">
        <v>39</v>
      </c>
      <c r="F934" s="1" t="s">
        <v>28</v>
      </c>
      <c r="H934" s="1" t="s">
        <v>48</v>
      </c>
      <c r="I934" s="1" t="s">
        <v>12</v>
      </c>
      <c r="J934" s="1" t="s">
        <v>74</v>
      </c>
      <c r="K934" s="1" t="s">
        <v>118</v>
      </c>
      <c r="L934" s="1" t="s">
        <v>12</v>
      </c>
      <c r="M934" s="1" t="s">
        <v>12</v>
      </c>
      <c r="N934" s="1">
        <v>30.18</v>
      </c>
      <c r="O934" s="1" t="s">
        <v>19</v>
      </c>
      <c r="P934" s="1">
        <v>10</v>
      </c>
      <c r="Q934" s="1" t="s">
        <v>16</v>
      </c>
      <c r="R934" s="1" t="str">
        <f>IF(N934="","",VLOOKUP(N934,Prior_levels,2,TRUE))</f>
        <v>H</v>
      </c>
    </row>
    <row r="935" spans="1:18" x14ac:dyDescent="0.2">
      <c r="A935" s="1" t="s">
        <v>117</v>
      </c>
      <c r="B935" s="1" t="s">
        <v>12</v>
      </c>
      <c r="C935" s="2">
        <v>41155</v>
      </c>
      <c r="D935" s="1">
        <v>10</v>
      </c>
      <c r="E935" s="1" t="s">
        <v>39</v>
      </c>
      <c r="F935" s="1" t="s">
        <v>28</v>
      </c>
      <c r="H935" s="1" t="s">
        <v>48</v>
      </c>
      <c r="I935" s="1" t="s">
        <v>12</v>
      </c>
      <c r="J935" s="1" t="s">
        <v>74</v>
      </c>
      <c r="K935" s="1" t="s">
        <v>118</v>
      </c>
      <c r="L935" s="1" t="s">
        <v>12</v>
      </c>
      <c r="M935" s="1" t="s">
        <v>12</v>
      </c>
      <c r="N935" s="1">
        <v>30.18</v>
      </c>
      <c r="O935" s="1" t="s">
        <v>20</v>
      </c>
      <c r="P935" s="1">
        <v>11</v>
      </c>
      <c r="Q935" s="1" t="s">
        <v>16</v>
      </c>
      <c r="R935" s="1" t="str">
        <f>IF(N935="","",VLOOKUP(N935,Prior_levels,2,TRUE))</f>
        <v>H</v>
      </c>
    </row>
    <row r="936" spans="1:18" x14ac:dyDescent="0.2">
      <c r="A936" s="1" t="s">
        <v>117</v>
      </c>
      <c r="B936" s="1" t="s">
        <v>12</v>
      </c>
      <c r="C936" s="2">
        <v>41155</v>
      </c>
      <c r="D936" s="1">
        <v>10</v>
      </c>
      <c r="E936" s="1" t="s">
        <v>39</v>
      </c>
      <c r="F936" s="1" t="s">
        <v>28</v>
      </c>
      <c r="H936" s="1" t="s">
        <v>48</v>
      </c>
      <c r="I936" s="1" t="s">
        <v>12</v>
      </c>
      <c r="J936" s="1" t="s">
        <v>74</v>
      </c>
      <c r="K936" s="1" t="s">
        <v>118</v>
      </c>
      <c r="L936" s="1" t="s">
        <v>12</v>
      </c>
      <c r="M936" s="1" t="s">
        <v>12</v>
      </c>
      <c r="N936" s="1">
        <v>30.18</v>
      </c>
      <c r="O936" s="1" t="s">
        <v>21</v>
      </c>
      <c r="P936" s="1">
        <v>12</v>
      </c>
      <c r="Q936" s="1" t="s">
        <v>16</v>
      </c>
      <c r="R936" s="1" t="str">
        <f>IF(N936="","",VLOOKUP(N936,Prior_levels,2,TRUE))</f>
        <v>H</v>
      </c>
    </row>
    <row r="937" spans="1:18" x14ac:dyDescent="0.2">
      <c r="A937" s="1" t="s">
        <v>117</v>
      </c>
      <c r="B937" s="1" t="s">
        <v>12</v>
      </c>
      <c r="C937" s="2">
        <v>41155</v>
      </c>
      <c r="D937" s="1">
        <v>10</v>
      </c>
      <c r="E937" s="1" t="s">
        <v>39</v>
      </c>
      <c r="F937" s="1" t="s">
        <v>28</v>
      </c>
      <c r="H937" s="1" t="s">
        <v>48</v>
      </c>
      <c r="I937" s="1" t="s">
        <v>12</v>
      </c>
      <c r="J937" s="1" t="s">
        <v>74</v>
      </c>
      <c r="K937" s="1" t="s">
        <v>118</v>
      </c>
      <c r="L937" s="1" t="s">
        <v>12</v>
      </c>
      <c r="M937" s="1" t="s">
        <v>12</v>
      </c>
      <c r="N937" s="1">
        <v>30.18</v>
      </c>
      <c r="O937" s="1" t="s">
        <v>22</v>
      </c>
      <c r="P937" s="1">
        <v>-1.85</v>
      </c>
      <c r="Q937" s="1" t="s">
        <v>16</v>
      </c>
      <c r="R937" s="1" t="str">
        <f>IF(N937="","",VLOOKUP(N937,Prior_levels,2,TRUE))</f>
        <v>H</v>
      </c>
    </row>
    <row r="938" spans="1:18" x14ac:dyDescent="0.2">
      <c r="A938" s="1" t="s">
        <v>117</v>
      </c>
      <c r="B938" s="1" t="s">
        <v>12</v>
      </c>
      <c r="C938" s="2">
        <v>41155</v>
      </c>
      <c r="D938" s="1">
        <v>10</v>
      </c>
      <c r="E938" s="1" t="s">
        <v>39</v>
      </c>
      <c r="F938" s="1" t="s">
        <v>28</v>
      </c>
      <c r="H938" s="1" t="s">
        <v>48</v>
      </c>
      <c r="I938" s="1" t="s">
        <v>12</v>
      </c>
      <c r="J938" s="1" t="s">
        <v>74</v>
      </c>
      <c r="K938" s="1" t="s">
        <v>118</v>
      </c>
      <c r="L938" s="1" t="s">
        <v>12</v>
      </c>
      <c r="M938" s="1" t="s">
        <v>12</v>
      </c>
      <c r="N938" s="1">
        <v>30.18</v>
      </c>
      <c r="O938" s="1" t="s">
        <v>23</v>
      </c>
      <c r="P938" s="1">
        <v>-0.63</v>
      </c>
      <c r="Q938" s="1" t="s">
        <v>16</v>
      </c>
      <c r="R938" s="1" t="str">
        <f>IF(N938="","",VLOOKUP(N938,Prior_levels,2,TRUE))</f>
        <v>H</v>
      </c>
    </row>
    <row r="939" spans="1:18" x14ac:dyDescent="0.2">
      <c r="A939" s="1" t="s">
        <v>117</v>
      </c>
      <c r="B939" s="1" t="s">
        <v>12</v>
      </c>
      <c r="C939" s="2">
        <v>41155</v>
      </c>
      <c r="D939" s="1">
        <v>10</v>
      </c>
      <c r="E939" s="1" t="s">
        <v>39</v>
      </c>
      <c r="F939" s="1" t="s">
        <v>28</v>
      </c>
      <c r="H939" s="1" t="s">
        <v>48</v>
      </c>
      <c r="I939" s="1" t="s">
        <v>12</v>
      </c>
      <c r="J939" s="1" t="s">
        <v>74</v>
      </c>
      <c r="K939" s="1" t="s">
        <v>118</v>
      </c>
      <c r="L939" s="1" t="s">
        <v>12</v>
      </c>
      <c r="M939" s="1" t="s">
        <v>12</v>
      </c>
      <c r="N939" s="1">
        <v>30.18</v>
      </c>
      <c r="O939" s="1" t="s">
        <v>25</v>
      </c>
      <c r="P939" s="1">
        <v>-5.21</v>
      </c>
      <c r="Q939" s="1" t="s">
        <v>16</v>
      </c>
      <c r="R939" s="1" t="str">
        <f>IF(N939="","",VLOOKUP(N939,Prior_levels,2,TRUE))</f>
        <v>H</v>
      </c>
    </row>
    <row r="940" spans="1:18" x14ac:dyDescent="0.2">
      <c r="A940" s="1" t="s">
        <v>117</v>
      </c>
      <c r="B940" s="1" t="s">
        <v>12</v>
      </c>
      <c r="C940" s="2">
        <v>41155</v>
      </c>
      <c r="D940" s="1">
        <v>10</v>
      </c>
      <c r="E940" s="1" t="s">
        <v>39</v>
      </c>
      <c r="F940" s="1" t="s">
        <v>28</v>
      </c>
      <c r="H940" s="1" t="s">
        <v>48</v>
      </c>
      <c r="I940" s="1" t="s">
        <v>12</v>
      </c>
      <c r="J940" s="1" t="s">
        <v>74</v>
      </c>
      <c r="K940" s="1" t="s">
        <v>118</v>
      </c>
      <c r="L940" s="1" t="s">
        <v>12</v>
      </c>
      <c r="M940" s="1" t="s">
        <v>12</v>
      </c>
      <c r="N940" s="1">
        <v>30.18</v>
      </c>
      <c r="O940" s="1" t="s">
        <v>26</v>
      </c>
      <c r="P940" s="1">
        <v>5</v>
      </c>
      <c r="Q940" s="1" t="s">
        <v>16</v>
      </c>
      <c r="R940" s="1" t="str">
        <f>IF(N940="","",VLOOKUP(N940,Prior_levels,2,TRUE))</f>
        <v>H</v>
      </c>
    </row>
    <row r="941" spans="1:18" x14ac:dyDescent="0.2">
      <c r="A941" s="1" t="s">
        <v>117</v>
      </c>
      <c r="B941" s="1" t="s">
        <v>12</v>
      </c>
      <c r="C941" s="2">
        <v>41155</v>
      </c>
      <c r="D941" s="1">
        <v>10</v>
      </c>
      <c r="E941" s="1" t="s">
        <v>39</v>
      </c>
      <c r="F941" s="1" t="s">
        <v>28</v>
      </c>
      <c r="H941" s="1" t="s">
        <v>48</v>
      </c>
      <c r="I941" s="1" t="s">
        <v>12</v>
      </c>
      <c r="J941" s="1" t="s">
        <v>74</v>
      </c>
      <c r="K941" s="1" t="s">
        <v>118</v>
      </c>
      <c r="L941" s="1" t="s">
        <v>12</v>
      </c>
      <c r="M941" s="1" t="s">
        <v>12</v>
      </c>
      <c r="N941" s="1">
        <v>30.18</v>
      </c>
      <c r="O941" s="1" t="s">
        <v>24</v>
      </c>
      <c r="P941" s="1">
        <v>-4.71</v>
      </c>
      <c r="Q941" s="1" t="s">
        <v>16</v>
      </c>
      <c r="R941" s="1" t="str">
        <f>IF(N941="","",VLOOKUP(N941,Prior_levels,2,TRUE))</f>
        <v>H</v>
      </c>
    </row>
    <row r="942" spans="1:18" x14ac:dyDescent="0.2">
      <c r="A942" s="1" t="s">
        <v>117</v>
      </c>
      <c r="B942" s="1" t="s">
        <v>12</v>
      </c>
      <c r="C942" s="2">
        <v>41155</v>
      </c>
      <c r="D942" s="1">
        <v>10</v>
      </c>
      <c r="E942" s="1" t="s">
        <v>39</v>
      </c>
      <c r="F942" s="1" t="s">
        <v>28</v>
      </c>
      <c r="H942" s="1" t="s">
        <v>48</v>
      </c>
      <c r="I942" s="1" t="s">
        <v>12</v>
      </c>
      <c r="J942" s="1" t="s">
        <v>74</v>
      </c>
      <c r="K942" s="1" t="s">
        <v>118</v>
      </c>
      <c r="L942" s="1" t="s">
        <v>12</v>
      </c>
      <c r="M942" s="1" t="s">
        <v>12</v>
      </c>
      <c r="N942" s="1">
        <v>30.18</v>
      </c>
      <c r="O942" s="1" t="s">
        <v>32</v>
      </c>
      <c r="P942" s="1" t="s">
        <v>28</v>
      </c>
      <c r="Q942" s="1" t="s">
        <v>16</v>
      </c>
      <c r="R942" s="1" t="str">
        <f>IF(N942="","",VLOOKUP(N942,Prior_levels,2,TRUE))</f>
        <v>H</v>
      </c>
    </row>
    <row r="943" spans="1:18" x14ac:dyDescent="0.2">
      <c r="A943" s="1" t="s">
        <v>117</v>
      </c>
      <c r="B943" s="1" t="s">
        <v>12</v>
      </c>
      <c r="C943" s="2">
        <v>41155</v>
      </c>
      <c r="D943" s="1">
        <v>10</v>
      </c>
      <c r="E943" s="1" t="s">
        <v>39</v>
      </c>
      <c r="F943" s="1" t="s">
        <v>28</v>
      </c>
      <c r="H943" s="1" t="s">
        <v>48</v>
      </c>
      <c r="I943" s="1" t="s">
        <v>12</v>
      </c>
      <c r="J943" s="1" t="s">
        <v>74</v>
      </c>
      <c r="K943" s="1" t="s">
        <v>118</v>
      </c>
      <c r="L943" s="1" t="s">
        <v>12</v>
      </c>
      <c r="M943" s="1" t="s">
        <v>12</v>
      </c>
      <c r="N943" s="1">
        <v>30.18</v>
      </c>
      <c r="O943" s="1" t="s">
        <v>27</v>
      </c>
      <c r="P943" s="1" t="s">
        <v>37</v>
      </c>
      <c r="Q943" s="1" t="s">
        <v>16</v>
      </c>
      <c r="R943" s="1" t="str">
        <f>IF(N943="","",VLOOKUP(N943,Prior_levels,2,TRUE))</f>
        <v>H</v>
      </c>
    </row>
    <row r="944" spans="1:18" x14ac:dyDescent="0.2">
      <c r="A944" s="1" t="s">
        <v>117</v>
      </c>
      <c r="B944" s="1" t="s">
        <v>12</v>
      </c>
      <c r="C944" s="2">
        <v>41155</v>
      </c>
      <c r="D944" s="1">
        <v>10</v>
      </c>
      <c r="E944" s="1" t="s">
        <v>39</v>
      </c>
      <c r="F944" s="1" t="s">
        <v>28</v>
      </c>
      <c r="H944" s="1" t="s">
        <v>48</v>
      </c>
      <c r="I944" s="1" t="s">
        <v>12</v>
      </c>
      <c r="J944" s="1" t="s">
        <v>74</v>
      </c>
      <c r="K944" s="1" t="s">
        <v>118</v>
      </c>
      <c r="L944" s="1" t="s">
        <v>12</v>
      </c>
      <c r="M944" s="1" t="s">
        <v>12</v>
      </c>
      <c r="N944" s="1">
        <v>30.18</v>
      </c>
      <c r="O944" s="1" t="s">
        <v>29</v>
      </c>
      <c r="P944" s="1" t="s">
        <v>28</v>
      </c>
      <c r="Q944" s="1" t="s">
        <v>16</v>
      </c>
      <c r="R944" s="1" t="str">
        <f>IF(N944="","",VLOOKUP(N944,Prior_levels,2,TRUE))</f>
        <v>H</v>
      </c>
    </row>
    <row r="945" spans="1:18" x14ac:dyDescent="0.2">
      <c r="A945" s="1" t="s">
        <v>117</v>
      </c>
      <c r="B945" s="1" t="s">
        <v>12</v>
      </c>
      <c r="C945" s="2">
        <v>41155</v>
      </c>
      <c r="D945" s="1">
        <v>10</v>
      </c>
      <c r="E945" s="1" t="s">
        <v>39</v>
      </c>
      <c r="F945" s="1" t="s">
        <v>28</v>
      </c>
      <c r="H945" s="1" t="s">
        <v>48</v>
      </c>
      <c r="I945" s="1" t="s">
        <v>12</v>
      </c>
      <c r="J945" s="1" t="s">
        <v>74</v>
      </c>
      <c r="K945" s="1" t="s">
        <v>118</v>
      </c>
      <c r="L945" s="1" t="s">
        <v>12</v>
      </c>
      <c r="M945" s="1" t="s">
        <v>12</v>
      </c>
      <c r="N945" s="1">
        <v>30.18</v>
      </c>
      <c r="O945" s="1" t="s">
        <v>30</v>
      </c>
      <c r="P945" s="1" t="s">
        <v>28</v>
      </c>
      <c r="Q945" s="1" t="s">
        <v>16</v>
      </c>
      <c r="R945" s="1" t="str">
        <f>IF(N945="","",VLOOKUP(N945,Prior_levels,2,TRUE))</f>
        <v>H</v>
      </c>
    </row>
    <row r="946" spans="1:18" x14ac:dyDescent="0.2">
      <c r="A946" s="1" t="s">
        <v>117</v>
      </c>
      <c r="B946" s="1" t="s">
        <v>12</v>
      </c>
      <c r="C946" s="2">
        <v>41155</v>
      </c>
      <c r="D946" s="1">
        <v>10</v>
      </c>
      <c r="E946" s="1" t="s">
        <v>39</v>
      </c>
      <c r="F946" s="1" t="s">
        <v>28</v>
      </c>
      <c r="H946" s="1" t="s">
        <v>48</v>
      </c>
      <c r="I946" s="1" t="s">
        <v>12</v>
      </c>
      <c r="J946" s="1" t="s">
        <v>74</v>
      </c>
      <c r="K946" s="1" t="s">
        <v>118</v>
      </c>
      <c r="L946" s="1" t="s">
        <v>12</v>
      </c>
      <c r="M946" s="1" t="s">
        <v>12</v>
      </c>
      <c r="N946" s="1">
        <v>30.18</v>
      </c>
      <c r="O946" s="1" t="s">
        <v>31</v>
      </c>
      <c r="P946" s="1" t="s">
        <v>28</v>
      </c>
      <c r="Q946" s="1" t="s">
        <v>16</v>
      </c>
      <c r="R946" s="1" t="str">
        <f>IF(N946="","",VLOOKUP(N946,Prior_levels,2,TRUE))</f>
        <v>H</v>
      </c>
    </row>
    <row r="947" spans="1:18" x14ac:dyDescent="0.2">
      <c r="A947" s="1" t="s">
        <v>119</v>
      </c>
      <c r="B947" s="1" t="s">
        <v>12</v>
      </c>
      <c r="C947" s="2">
        <v>41155</v>
      </c>
      <c r="D947" s="1">
        <v>10</v>
      </c>
      <c r="E947" s="1" t="s">
        <v>34</v>
      </c>
      <c r="I947" s="1" t="s">
        <v>12</v>
      </c>
      <c r="J947" s="1" t="s">
        <v>40</v>
      </c>
      <c r="K947" s="1" t="s">
        <v>14</v>
      </c>
      <c r="L947" s="1" t="s">
        <v>12</v>
      </c>
      <c r="M947" s="1" t="s">
        <v>12</v>
      </c>
      <c r="N947" s="1">
        <v>21.12</v>
      </c>
      <c r="O947" s="1" t="s">
        <v>15</v>
      </c>
      <c r="P947" s="1">
        <v>3.5</v>
      </c>
      <c r="Q947" s="1" t="s">
        <v>16</v>
      </c>
      <c r="R947" s="1" t="str">
        <f>IF(N947="","",VLOOKUP(N947,Prior_levels,2,TRUE))</f>
        <v>L</v>
      </c>
    </row>
    <row r="948" spans="1:18" x14ac:dyDescent="0.2">
      <c r="A948" s="1" t="s">
        <v>119</v>
      </c>
      <c r="B948" s="1" t="s">
        <v>12</v>
      </c>
      <c r="C948" s="2">
        <v>41155</v>
      </c>
      <c r="D948" s="1">
        <v>10</v>
      </c>
      <c r="E948" s="1" t="s">
        <v>34</v>
      </c>
      <c r="I948" s="1" t="s">
        <v>12</v>
      </c>
      <c r="J948" s="1" t="s">
        <v>40</v>
      </c>
      <c r="K948" s="1" t="s">
        <v>14</v>
      </c>
      <c r="L948" s="1" t="s">
        <v>12</v>
      </c>
      <c r="M948" s="1" t="s">
        <v>12</v>
      </c>
      <c r="N948" s="1">
        <v>21.12</v>
      </c>
      <c r="O948" s="1" t="s">
        <v>17</v>
      </c>
      <c r="P948" s="1">
        <v>0.67</v>
      </c>
      <c r="Q948" s="1" t="s">
        <v>16</v>
      </c>
      <c r="R948" s="1" t="str">
        <f>IF(N948="","",VLOOKUP(N948,Prior_levels,2,TRUE))</f>
        <v>L</v>
      </c>
    </row>
    <row r="949" spans="1:18" x14ac:dyDescent="0.2">
      <c r="A949" s="1" t="s">
        <v>119</v>
      </c>
      <c r="B949" s="1" t="s">
        <v>12</v>
      </c>
      <c r="C949" s="2">
        <v>41155</v>
      </c>
      <c r="D949" s="1">
        <v>10</v>
      </c>
      <c r="E949" s="1" t="s">
        <v>34</v>
      </c>
      <c r="I949" s="1" t="s">
        <v>12</v>
      </c>
      <c r="J949" s="1" t="s">
        <v>40</v>
      </c>
      <c r="K949" s="1" t="s">
        <v>14</v>
      </c>
      <c r="L949" s="1" t="s">
        <v>12</v>
      </c>
      <c r="M949" s="1" t="s">
        <v>12</v>
      </c>
      <c r="N949" s="1">
        <v>21.12</v>
      </c>
      <c r="O949" s="1" t="s">
        <v>18</v>
      </c>
      <c r="P949" s="1">
        <v>8</v>
      </c>
      <c r="Q949" s="1" t="s">
        <v>16</v>
      </c>
      <c r="R949" s="1" t="str">
        <f>IF(N949="","",VLOOKUP(N949,Prior_levels,2,TRUE))</f>
        <v>L</v>
      </c>
    </row>
    <row r="950" spans="1:18" x14ac:dyDescent="0.2">
      <c r="A950" s="1" t="s">
        <v>119</v>
      </c>
      <c r="B950" s="1" t="s">
        <v>12</v>
      </c>
      <c r="C950" s="2">
        <v>41155</v>
      </c>
      <c r="D950" s="1">
        <v>10</v>
      </c>
      <c r="E950" s="1" t="s">
        <v>34</v>
      </c>
      <c r="I950" s="1" t="s">
        <v>12</v>
      </c>
      <c r="J950" s="1" t="s">
        <v>40</v>
      </c>
      <c r="K950" s="1" t="s">
        <v>14</v>
      </c>
      <c r="L950" s="1" t="s">
        <v>12</v>
      </c>
      <c r="M950" s="1" t="s">
        <v>12</v>
      </c>
      <c r="N950" s="1">
        <v>21.12</v>
      </c>
      <c r="O950" s="1" t="s">
        <v>19</v>
      </c>
      <c r="P950" s="1">
        <v>8</v>
      </c>
      <c r="Q950" s="1" t="s">
        <v>16</v>
      </c>
      <c r="R950" s="1" t="str">
        <f>IF(N950="","",VLOOKUP(N950,Prior_levels,2,TRUE))</f>
        <v>L</v>
      </c>
    </row>
    <row r="951" spans="1:18" x14ac:dyDescent="0.2">
      <c r="A951" s="1" t="s">
        <v>119</v>
      </c>
      <c r="B951" s="1" t="s">
        <v>12</v>
      </c>
      <c r="C951" s="2">
        <v>41155</v>
      </c>
      <c r="D951" s="1">
        <v>10</v>
      </c>
      <c r="E951" s="1" t="s">
        <v>34</v>
      </c>
      <c r="I951" s="1" t="s">
        <v>12</v>
      </c>
      <c r="J951" s="1" t="s">
        <v>40</v>
      </c>
      <c r="K951" s="1" t="s">
        <v>14</v>
      </c>
      <c r="L951" s="1" t="s">
        <v>12</v>
      </c>
      <c r="M951" s="1" t="s">
        <v>12</v>
      </c>
      <c r="N951" s="1">
        <v>21.12</v>
      </c>
      <c r="O951" s="1" t="s">
        <v>20</v>
      </c>
      <c r="P951" s="1">
        <v>9</v>
      </c>
      <c r="Q951" s="1" t="s">
        <v>16</v>
      </c>
      <c r="R951" s="1" t="str">
        <f>IF(N951="","",VLOOKUP(N951,Prior_levels,2,TRUE))</f>
        <v>L</v>
      </c>
    </row>
    <row r="952" spans="1:18" x14ac:dyDescent="0.2">
      <c r="A952" s="1" t="s">
        <v>119</v>
      </c>
      <c r="B952" s="1" t="s">
        <v>12</v>
      </c>
      <c r="C952" s="2">
        <v>41155</v>
      </c>
      <c r="D952" s="1">
        <v>10</v>
      </c>
      <c r="E952" s="1" t="s">
        <v>34</v>
      </c>
      <c r="I952" s="1" t="s">
        <v>12</v>
      </c>
      <c r="J952" s="1" t="s">
        <v>40</v>
      </c>
      <c r="K952" s="1" t="s">
        <v>14</v>
      </c>
      <c r="L952" s="1" t="s">
        <v>12</v>
      </c>
      <c r="M952" s="1" t="s">
        <v>12</v>
      </c>
      <c r="N952" s="1">
        <v>21.12</v>
      </c>
      <c r="O952" s="1" t="s">
        <v>21</v>
      </c>
      <c r="P952" s="1">
        <v>10</v>
      </c>
      <c r="Q952" s="1" t="s">
        <v>16</v>
      </c>
      <c r="R952" s="1" t="str">
        <f>IF(N952="","",VLOOKUP(N952,Prior_levels,2,TRUE))</f>
        <v>L</v>
      </c>
    </row>
    <row r="953" spans="1:18" x14ac:dyDescent="0.2">
      <c r="A953" s="1" t="s">
        <v>119</v>
      </c>
      <c r="B953" s="1" t="s">
        <v>12</v>
      </c>
      <c r="C953" s="2">
        <v>41155</v>
      </c>
      <c r="D953" s="1">
        <v>10</v>
      </c>
      <c r="E953" s="1" t="s">
        <v>34</v>
      </c>
      <c r="I953" s="1" t="s">
        <v>12</v>
      </c>
      <c r="J953" s="1" t="s">
        <v>40</v>
      </c>
      <c r="K953" s="1" t="s">
        <v>14</v>
      </c>
      <c r="L953" s="1" t="s">
        <v>12</v>
      </c>
      <c r="M953" s="1" t="s">
        <v>12</v>
      </c>
      <c r="N953" s="1">
        <v>21.12</v>
      </c>
      <c r="O953" s="1" t="s">
        <v>22</v>
      </c>
      <c r="P953" s="1">
        <v>0.34</v>
      </c>
      <c r="Q953" s="1" t="s">
        <v>16</v>
      </c>
      <c r="R953" s="1" t="str">
        <f>IF(N953="","",VLOOKUP(N953,Prior_levels,2,TRUE))</f>
        <v>L</v>
      </c>
    </row>
    <row r="954" spans="1:18" x14ac:dyDescent="0.2">
      <c r="A954" s="1" t="s">
        <v>119</v>
      </c>
      <c r="B954" s="1" t="s">
        <v>12</v>
      </c>
      <c r="C954" s="2">
        <v>41155</v>
      </c>
      <c r="D954" s="1">
        <v>10</v>
      </c>
      <c r="E954" s="1" t="s">
        <v>34</v>
      </c>
      <c r="I954" s="1" t="s">
        <v>12</v>
      </c>
      <c r="J954" s="1" t="s">
        <v>40</v>
      </c>
      <c r="K954" s="1" t="s">
        <v>14</v>
      </c>
      <c r="L954" s="1" t="s">
        <v>12</v>
      </c>
      <c r="M954" s="1" t="s">
        <v>12</v>
      </c>
      <c r="N954" s="1">
        <v>21.12</v>
      </c>
      <c r="O954" s="1" t="s">
        <v>23</v>
      </c>
      <c r="P954" s="1">
        <v>1.39</v>
      </c>
      <c r="Q954" s="1" t="s">
        <v>16</v>
      </c>
      <c r="R954" s="1" t="str">
        <f>IF(N954="","",VLOOKUP(N954,Prior_levels,2,TRUE))</f>
        <v>L</v>
      </c>
    </row>
    <row r="955" spans="1:18" x14ac:dyDescent="0.2">
      <c r="A955" s="1" t="s">
        <v>119</v>
      </c>
      <c r="B955" s="1" t="s">
        <v>12</v>
      </c>
      <c r="C955" s="2">
        <v>41155</v>
      </c>
      <c r="D955" s="1">
        <v>10</v>
      </c>
      <c r="E955" s="1" t="s">
        <v>34</v>
      </c>
      <c r="I955" s="1" t="s">
        <v>12</v>
      </c>
      <c r="J955" s="1" t="s">
        <v>40</v>
      </c>
      <c r="K955" s="1" t="s">
        <v>14</v>
      </c>
      <c r="L955" s="1" t="s">
        <v>12</v>
      </c>
      <c r="M955" s="1" t="s">
        <v>12</v>
      </c>
      <c r="N955" s="1">
        <v>21.12</v>
      </c>
      <c r="O955" s="1" t="s">
        <v>24</v>
      </c>
      <c r="P955" s="1">
        <v>4.49</v>
      </c>
      <c r="Q955" s="1" t="s">
        <v>16</v>
      </c>
      <c r="R955" s="1" t="str">
        <f>IF(N955="","",VLOOKUP(N955,Prior_levels,2,TRUE))</f>
        <v>L</v>
      </c>
    </row>
    <row r="956" spans="1:18" x14ac:dyDescent="0.2">
      <c r="A956" s="1" t="s">
        <v>119</v>
      </c>
      <c r="B956" s="1" t="s">
        <v>12</v>
      </c>
      <c r="C956" s="2">
        <v>41155</v>
      </c>
      <c r="D956" s="1">
        <v>10</v>
      </c>
      <c r="E956" s="1" t="s">
        <v>34</v>
      </c>
      <c r="I956" s="1" t="s">
        <v>12</v>
      </c>
      <c r="J956" s="1" t="s">
        <v>40</v>
      </c>
      <c r="K956" s="1" t="s">
        <v>14</v>
      </c>
      <c r="L956" s="1" t="s">
        <v>12</v>
      </c>
      <c r="M956" s="1" t="s">
        <v>12</v>
      </c>
      <c r="N956" s="1">
        <v>21.12</v>
      </c>
      <c r="O956" s="1" t="s">
        <v>25</v>
      </c>
      <c r="P956" s="1">
        <v>-1.2</v>
      </c>
      <c r="Q956" s="1" t="s">
        <v>16</v>
      </c>
      <c r="R956" s="1" t="str">
        <f>IF(N956="","",VLOOKUP(N956,Prior_levels,2,TRUE))</f>
        <v>L</v>
      </c>
    </row>
    <row r="957" spans="1:18" x14ac:dyDescent="0.2">
      <c r="A957" s="1" t="s">
        <v>119</v>
      </c>
      <c r="B957" s="1" t="s">
        <v>12</v>
      </c>
      <c r="C957" s="2">
        <v>41155</v>
      </c>
      <c r="D957" s="1">
        <v>10</v>
      </c>
      <c r="E957" s="1" t="s">
        <v>34</v>
      </c>
      <c r="I957" s="1" t="s">
        <v>12</v>
      </c>
      <c r="J957" s="1" t="s">
        <v>40</v>
      </c>
      <c r="K957" s="1" t="s">
        <v>14</v>
      </c>
      <c r="L957" s="1" t="s">
        <v>12</v>
      </c>
      <c r="M957" s="1" t="s">
        <v>12</v>
      </c>
      <c r="N957" s="1">
        <v>21.12</v>
      </c>
      <c r="O957" s="1" t="s">
        <v>26</v>
      </c>
      <c r="P957" s="1">
        <v>0</v>
      </c>
      <c r="Q957" s="1" t="s">
        <v>16</v>
      </c>
      <c r="R957" s="1" t="str">
        <f>IF(N957="","",VLOOKUP(N957,Prior_levels,2,TRUE))</f>
        <v>L</v>
      </c>
    </row>
    <row r="958" spans="1:18" x14ac:dyDescent="0.2">
      <c r="A958" s="1" t="s">
        <v>119</v>
      </c>
      <c r="B958" s="1" t="s">
        <v>12</v>
      </c>
      <c r="C958" s="2">
        <v>41155</v>
      </c>
      <c r="D958" s="1">
        <v>10</v>
      </c>
      <c r="E958" s="1" t="s">
        <v>34</v>
      </c>
      <c r="I958" s="1" t="s">
        <v>12</v>
      </c>
      <c r="J958" s="1" t="s">
        <v>40</v>
      </c>
      <c r="K958" s="1" t="s">
        <v>14</v>
      </c>
      <c r="L958" s="1" t="s">
        <v>12</v>
      </c>
      <c r="M958" s="1" t="s">
        <v>12</v>
      </c>
      <c r="N958" s="1">
        <v>21.12</v>
      </c>
      <c r="O958" s="1" t="s">
        <v>32</v>
      </c>
      <c r="P958" s="1" t="s">
        <v>28</v>
      </c>
      <c r="Q958" s="1" t="s">
        <v>16</v>
      </c>
      <c r="R958" s="1" t="str">
        <f>IF(N958="","",VLOOKUP(N958,Prior_levels,2,TRUE))</f>
        <v>L</v>
      </c>
    </row>
    <row r="959" spans="1:18" x14ac:dyDescent="0.2">
      <c r="A959" s="1" t="s">
        <v>119</v>
      </c>
      <c r="B959" s="1" t="s">
        <v>12</v>
      </c>
      <c r="C959" s="2">
        <v>41155</v>
      </c>
      <c r="D959" s="1">
        <v>10</v>
      </c>
      <c r="E959" s="1" t="s">
        <v>34</v>
      </c>
      <c r="I959" s="1" t="s">
        <v>12</v>
      </c>
      <c r="J959" s="1" t="s">
        <v>40</v>
      </c>
      <c r="K959" s="1" t="s">
        <v>14</v>
      </c>
      <c r="L959" s="1" t="s">
        <v>12</v>
      </c>
      <c r="M959" s="1" t="s">
        <v>12</v>
      </c>
      <c r="N959" s="1">
        <v>21.12</v>
      </c>
      <c r="O959" s="1" t="s">
        <v>27</v>
      </c>
      <c r="P959" s="1" t="s">
        <v>28</v>
      </c>
      <c r="Q959" s="1" t="s">
        <v>16</v>
      </c>
      <c r="R959" s="1" t="str">
        <f>IF(N959="","",VLOOKUP(N959,Prior_levels,2,TRUE))</f>
        <v>L</v>
      </c>
    </row>
    <row r="960" spans="1:18" x14ac:dyDescent="0.2">
      <c r="A960" s="1" t="s">
        <v>119</v>
      </c>
      <c r="B960" s="1" t="s">
        <v>12</v>
      </c>
      <c r="C960" s="2">
        <v>41155</v>
      </c>
      <c r="D960" s="1">
        <v>10</v>
      </c>
      <c r="E960" s="1" t="s">
        <v>34</v>
      </c>
      <c r="I960" s="1" t="s">
        <v>12</v>
      </c>
      <c r="J960" s="1" t="s">
        <v>40</v>
      </c>
      <c r="K960" s="1" t="s">
        <v>14</v>
      </c>
      <c r="L960" s="1" t="s">
        <v>12</v>
      </c>
      <c r="M960" s="1" t="s">
        <v>12</v>
      </c>
      <c r="N960" s="1">
        <v>21.12</v>
      </c>
      <c r="O960" s="1" t="s">
        <v>29</v>
      </c>
      <c r="P960" s="1" t="s">
        <v>28</v>
      </c>
      <c r="Q960" s="1" t="s">
        <v>16</v>
      </c>
      <c r="R960" s="1" t="str">
        <f>IF(N960="","",VLOOKUP(N960,Prior_levels,2,TRUE))</f>
        <v>L</v>
      </c>
    </row>
    <row r="961" spans="1:18" x14ac:dyDescent="0.2">
      <c r="A961" s="1" t="s">
        <v>119</v>
      </c>
      <c r="B961" s="1" t="s">
        <v>12</v>
      </c>
      <c r="C961" s="2">
        <v>41155</v>
      </c>
      <c r="D961" s="1">
        <v>10</v>
      </c>
      <c r="E961" s="1" t="s">
        <v>34</v>
      </c>
      <c r="I961" s="1" t="s">
        <v>12</v>
      </c>
      <c r="J961" s="1" t="s">
        <v>40</v>
      </c>
      <c r="K961" s="1" t="s">
        <v>14</v>
      </c>
      <c r="L961" s="1" t="s">
        <v>12</v>
      </c>
      <c r="M961" s="1" t="s">
        <v>12</v>
      </c>
      <c r="N961" s="1">
        <v>21.12</v>
      </c>
      <c r="O961" s="1" t="s">
        <v>30</v>
      </c>
      <c r="P961" s="1" t="s">
        <v>28</v>
      </c>
      <c r="Q961" s="1" t="s">
        <v>16</v>
      </c>
      <c r="R961" s="1" t="str">
        <f>IF(N961="","",VLOOKUP(N961,Prior_levels,2,TRUE))</f>
        <v>L</v>
      </c>
    </row>
    <row r="962" spans="1:18" x14ac:dyDescent="0.2">
      <c r="A962" s="1" t="s">
        <v>119</v>
      </c>
      <c r="B962" s="1" t="s">
        <v>12</v>
      </c>
      <c r="C962" s="2">
        <v>41155</v>
      </c>
      <c r="D962" s="1">
        <v>10</v>
      </c>
      <c r="E962" s="1" t="s">
        <v>34</v>
      </c>
      <c r="I962" s="1" t="s">
        <v>12</v>
      </c>
      <c r="J962" s="1" t="s">
        <v>40</v>
      </c>
      <c r="K962" s="1" t="s">
        <v>14</v>
      </c>
      <c r="L962" s="1" t="s">
        <v>12</v>
      </c>
      <c r="M962" s="1" t="s">
        <v>12</v>
      </c>
      <c r="N962" s="1">
        <v>21.12</v>
      </c>
      <c r="O962" s="1" t="s">
        <v>31</v>
      </c>
      <c r="P962" s="1" t="s">
        <v>28</v>
      </c>
      <c r="Q962" s="1" t="s">
        <v>16</v>
      </c>
      <c r="R962" s="1" t="str">
        <f>IF(N962="","",VLOOKUP(N962,Prior_levels,2,TRUE))</f>
        <v>L</v>
      </c>
    </row>
    <row r="963" spans="1:18" x14ac:dyDescent="0.2">
      <c r="A963" s="1" t="s">
        <v>120</v>
      </c>
      <c r="B963" s="1" t="s">
        <v>12</v>
      </c>
      <c r="C963" s="2">
        <v>41155</v>
      </c>
      <c r="D963" s="1">
        <v>10</v>
      </c>
      <c r="E963" s="1" t="s">
        <v>39</v>
      </c>
      <c r="F963" s="1" t="s">
        <v>28</v>
      </c>
      <c r="H963" s="1" t="s">
        <v>48</v>
      </c>
      <c r="I963" s="1" t="s">
        <v>12</v>
      </c>
      <c r="J963" s="1" t="s">
        <v>43</v>
      </c>
      <c r="K963" s="1" t="s">
        <v>14</v>
      </c>
      <c r="L963" s="1" t="s">
        <v>12</v>
      </c>
      <c r="M963" s="1" t="s">
        <v>12</v>
      </c>
      <c r="N963" s="1">
        <v>30.18</v>
      </c>
      <c r="O963" s="1" t="s">
        <v>15</v>
      </c>
      <c r="P963" s="1">
        <v>3.5</v>
      </c>
      <c r="Q963" s="1" t="s">
        <v>16</v>
      </c>
      <c r="R963" s="1" t="str">
        <f>IF(N963="","",VLOOKUP(N963,Prior_levels,2,TRUE))</f>
        <v>H</v>
      </c>
    </row>
    <row r="964" spans="1:18" x14ac:dyDescent="0.2">
      <c r="A964" s="1" t="s">
        <v>120</v>
      </c>
      <c r="B964" s="1" t="s">
        <v>12</v>
      </c>
      <c r="C964" s="2">
        <v>41155</v>
      </c>
      <c r="D964" s="1">
        <v>10</v>
      </c>
      <c r="E964" s="1" t="s">
        <v>39</v>
      </c>
      <c r="F964" s="1" t="s">
        <v>28</v>
      </c>
      <c r="H964" s="1" t="s">
        <v>48</v>
      </c>
      <c r="I964" s="1" t="s">
        <v>12</v>
      </c>
      <c r="J964" s="1" t="s">
        <v>43</v>
      </c>
      <c r="K964" s="1" t="s">
        <v>14</v>
      </c>
      <c r="L964" s="1" t="s">
        <v>12</v>
      </c>
      <c r="M964" s="1" t="s">
        <v>12</v>
      </c>
      <c r="N964" s="1">
        <v>30.18</v>
      </c>
      <c r="O964" s="1" t="s">
        <v>17</v>
      </c>
      <c r="P964" s="1">
        <v>-2.09</v>
      </c>
      <c r="Q964" s="1" t="s">
        <v>16</v>
      </c>
      <c r="R964" s="1" t="str">
        <f>IF(N964="","",VLOOKUP(N964,Prior_levels,2,TRUE))</f>
        <v>H</v>
      </c>
    </row>
    <row r="965" spans="1:18" x14ac:dyDescent="0.2">
      <c r="A965" s="1" t="s">
        <v>120</v>
      </c>
      <c r="B965" s="1" t="s">
        <v>12</v>
      </c>
      <c r="C965" s="2">
        <v>41155</v>
      </c>
      <c r="D965" s="1">
        <v>10</v>
      </c>
      <c r="E965" s="1" t="s">
        <v>39</v>
      </c>
      <c r="F965" s="1" t="s">
        <v>28</v>
      </c>
      <c r="H965" s="1" t="s">
        <v>48</v>
      </c>
      <c r="I965" s="1" t="s">
        <v>12</v>
      </c>
      <c r="J965" s="1" t="s">
        <v>43</v>
      </c>
      <c r="K965" s="1" t="s">
        <v>14</v>
      </c>
      <c r="L965" s="1" t="s">
        <v>12</v>
      </c>
      <c r="M965" s="1" t="s">
        <v>12</v>
      </c>
      <c r="N965" s="1">
        <v>30.18</v>
      </c>
      <c r="O965" s="1" t="s">
        <v>18</v>
      </c>
      <c r="P965" s="1">
        <v>8</v>
      </c>
      <c r="Q965" s="1" t="s">
        <v>16</v>
      </c>
      <c r="R965" s="1" t="str">
        <f>IF(N965="","",VLOOKUP(N965,Prior_levels,2,TRUE))</f>
        <v>H</v>
      </c>
    </row>
    <row r="966" spans="1:18" x14ac:dyDescent="0.2">
      <c r="A966" s="1" t="s">
        <v>120</v>
      </c>
      <c r="B966" s="1" t="s">
        <v>12</v>
      </c>
      <c r="C966" s="2">
        <v>41155</v>
      </c>
      <c r="D966" s="1">
        <v>10</v>
      </c>
      <c r="E966" s="1" t="s">
        <v>39</v>
      </c>
      <c r="F966" s="1" t="s">
        <v>28</v>
      </c>
      <c r="H966" s="1" t="s">
        <v>48</v>
      </c>
      <c r="I966" s="1" t="s">
        <v>12</v>
      </c>
      <c r="J966" s="1" t="s">
        <v>43</v>
      </c>
      <c r="K966" s="1" t="s">
        <v>14</v>
      </c>
      <c r="L966" s="1" t="s">
        <v>12</v>
      </c>
      <c r="M966" s="1" t="s">
        <v>12</v>
      </c>
      <c r="N966" s="1">
        <v>30.18</v>
      </c>
      <c r="O966" s="1" t="s">
        <v>19</v>
      </c>
      <c r="P966" s="1">
        <v>8</v>
      </c>
      <c r="Q966" s="1" t="s">
        <v>16</v>
      </c>
      <c r="R966" s="1" t="str">
        <f>IF(N966="","",VLOOKUP(N966,Prior_levels,2,TRUE))</f>
        <v>H</v>
      </c>
    </row>
    <row r="967" spans="1:18" x14ac:dyDescent="0.2">
      <c r="A967" s="1" t="s">
        <v>120</v>
      </c>
      <c r="B967" s="1" t="s">
        <v>12</v>
      </c>
      <c r="C967" s="2">
        <v>41155</v>
      </c>
      <c r="D967" s="1">
        <v>10</v>
      </c>
      <c r="E967" s="1" t="s">
        <v>39</v>
      </c>
      <c r="F967" s="1" t="s">
        <v>28</v>
      </c>
      <c r="H967" s="1" t="s">
        <v>48</v>
      </c>
      <c r="I967" s="1" t="s">
        <v>12</v>
      </c>
      <c r="J967" s="1" t="s">
        <v>43</v>
      </c>
      <c r="K967" s="1" t="s">
        <v>14</v>
      </c>
      <c r="L967" s="1" t="s">
        <v>12</v>
      </c>
      <c r="M967" s="1" t="s">
        <v>12</v>
      </c>
      <c r="N967" s="1">
        <v>30.18</v>
      </c>
      <c r="O967" s="1" t="s">
        <v>20</v>
      </c>
      <c r="P967" s="1">
        <v>9</v>
      </c>
      <c r="Q967" s="1" t="s">
        <v>16</v>
      </c>
      <c r="R967" s="1" t="str">
        <f>IF(N967="","",VLOOKUP(N967,Prior_levels,2,TRUE))</f>
        <v>H</v>
      </c>
    </row>
    <row r="968" spans="1:18" x14ac:dyDescent="0.2">
      <c r="A968" s="1" t="s">
        <v>120</v>
      </c>
      <c r="B968" s="1" t="s">
        <v>12</v>
      </c>
      <c r="C968" s="2">
        <v>41155</v>
      </c>
      <c r="D968" s="1">
        <v>10</v>
      </c>
      <c r="E968" s="1" t="s">
        <v>39</v>
      </c>
      <c r="F968" s="1" t="s">
        <v>28</v>
      </c>
      <c r="H968" s="1" t="s">
        <v>48</v>
      </c>
      <c r="I968" s="1" t="s">
        <v>12</v>
      </c>
      <c r="J968" s="1" t="s">
        <v>43</v>
      </c>
      <c r="K968" s="1" t="s">
        <v>14</v>
      </c>
      <c r="L968" s="1" t="s">
        <v>12</v>
      </c>
      <c r="M968" s="1" t="s">
        <v>12</v>
      </c>
      <c r="N968" s="1">
        <v>30.18</v>
      </c>
      <c r="O968" s="1" t="s">
        <v>21</v>
      </c>
      <c r="P968" s="1">
        <v>10</v>
      </c>
      <c r="Q968" s="1" t="s">
        <v>16</v>
      </c>
      <c r="R968" s="1" t="str">
        <f>IF(N968="","",VLOOKUP(N968,Prior_levels,2,TRUE))</f>
        <v>H</v>
      </c>
    </row>
    <row r="969" spans="1:18" x14ac:dyDescent="0.2">
      <c r="A969" s="1" t="s">
        <v>120</v>
      </c>
      <c r="B969" s="1" t="s">
        <v>12</v>
      </c>
      <c r="C969" s="2">
        <v>41155</v>
      </c>
      <c r="D969" s="1">
        <v>10</v>
      </c>
      <c r="E969" s="1" t="s">
        <v>39</v>
      </c>
      <c r="F969" s="1" t="s">
        <v>28</v>
      </c>
      <c r="H969" s="1" t="s">
        <v>48</v>
      </c>
      <c r="I969" s="1" t="s">
        <v>12</v>
      </c>
      <c r="J969" s="1" t="s">
        <v>43</v>
      </c>
      <c r="K969" s="1" t="s">
        <v>14</v>
      </c>
      <c r="L969" s="1" t="s">
        <v>12</v>
      </c>
      <c r="M969" s="1" t="s">
        <v>12</v>
      </c>
      <c r="N969" s="1">
        <v>30.18</v>
      </c>
      <c r="O969" s="1" t="s">
        <v>22</v>
      </c>
      <c r="P969" s="1">
        <v>-1.85</v>
      </c>
      <c r="Q969" s="1" t="s">
        <v>16</v>
      </c>
      <c r="R969" s="1" t="str">
        <f>IF(N969="","",VLOOKUP(N969,Prior_levels,2,TRUE))</f>
        <v>H</v>
      </c>
    </row>
    <row r="970" spans="1:18" x14ac:dyDescent="0.2">
      <c r="A970" s="1" t="s">
        <v>120</v>
      </c>
      <c r="B970" s="1" t="s">
        <v>12</v>
      </c>
      <c r="C970" s="2">
        <v>41155</v>
      </c>
      <c r="D970" s="1">
        <v>10</v>
      </c>
      <c r="E970" s="1" t="s">
        <v>39</v>
      </c>
      <c r="F970" s="1" t="s">
        <v>28</v>
      </c>
      <c r="H970" s="1" t="s">
        <v>48</v>
      </c>
      <c r="I970" s="1" t="s">
        <v>12</v>
      </c>
      <c r="J970" s="1" t="s">
        <v>43</v>
      </c>
      <c r="K970" s="1" t="s">
        <v>14</v>
      </c>
      <c r="L970" s="1" t="s">
        <v>12</v>
      </c>
      <c r="M970" s="1" t="s">
        <v>12</v>
      </c>
      <c r="N970" s="1">
        <v>30.18</v>
      </c>
      <c r="O970" s="1" t="s">
        <v>23</v>
      </c>
      <c r="P970" s="1">
        <v>-1.63</v>
      </c>
      <c r="Q970" s="1" t="s">
        <v>16</v>
      </c>
      <c r="R970" s="1" t="str">
        <f>IF(N970="","",VLOOKUP(N970,Prior_levels,2,TRUE))</f>
        <v>H</v>
      </c>
    </row>
    <row r="971" spans="1:18" x14ac:dyDescent="0.2">
      <c r="A971" s="1" t="s">
        <v>120</v>
      </c>
      <c r="B971" s="1" t="s">
        <v>12</v>
      </c>
      <c r="C971" s="2">
        <v>41155</v>
      </c>
      <c r="D971" s="1">
        <v>10</v>
      </c>
      <c r="E971" s="1" t="s">
        <v>39</v>
      </c>
      <c r="F971" s="1" t="s">
        <v>28</v>
      </c>
      <c r="H971" s="1" t="s">
        <v>48</v>
      </c>
      <c r="I971" s="1" t="s">
        <v>12</v>
      </c>
      <c r="J971" s="1" t="s">
        <v>43</v>
      </c>
      <c r="K971" s="1" t="s">
        <v>14</v>
      </c>
      <c r="L971" s="1" t="s">
        <v>12</v>
      </c>
      <c r="M971" s="1" t="s">
        <v>12</v>
      </c>
      <c r="N971" s="1">
        <v>30.18</v>
      </c>
      <c r="O971" s="1" t="s">
        <v>25</v>
      </c>
      <c r="P971" s="1">
        <v>-7.21</v>
      </c>
      <c r="Q971" s="1" t="s">
        <v>16</v>
      </c>
      <c r="R971" s="1" t="str">
        <f>IF(N971="","",VLOOKUP(N971,Prior_levels,2,TRUE))</f>
        <v>H</v>
      </c>
    </row>
    <row r="972" spans="1:18" x14ac:dyDescent="0.2">
      <c r="A972" s="1" t="s">
        <v>120</v>
      </c>
      <c r="B972" s="1" t="s">
        <v>12</v>
      </c>
      <c r="C972" s="2">
        <v>41155</v>
      </c>
      <c r="D972" s="1">
        <v>10</v>
      </c>
      <c r="E972" s="1" t="s">
        <v>39</v>
      </c>
      <c r="F972" s="1" t="s">
        <v>28</v>
      </c>
      <c r="H972" s="1" t="s">
        <v>48</v>
      </c>
      <c r="I972" s="1" t="s">
        <v>12</v>
      </c>
      <c r="J972" s="1" t="s">
        <v>43</v>
      </c>
      <c r="K972" s="1" t="s">
        <v>14</v>
      </c>
      <c r="L972" s="1" t="s">
        <v>12</v>
      </c>
      <c r="M972" s="1" t="s">
        <v>12</v>
      </c>
      <c r="N972" s="1">
        <v>30.18</v>
      </c>
      <c r="O972" s="1" t="s">
        <v>26</v>
      </c>
      <c r="P972" s="1">
        <v>0</v>
      </c>
      <c r="Q972" s="1" t="s">
        <v>16</v>
      </c>
      <c r="R972" s="1" t="str">
        <f>IF(N972="","",VLOOKUP(N972,Prior_levels,2,TRUE))</f>
        <v>H</v>
      </c>
    </row>
    <row r="973" spans="1:18" x14ac:dyDescent="0.2">
      <c r="A973" s="1" t="s">
        <v>120</v>
      </c>
      <c r="B973" s="1" t="s">
        <v>12</v>
      </c>
      <c r="C973" s="2">
        <v>41155</v>
      </c>
      <c r="D973" s="1">
        <v>10</v>
      </c>
      <c r="E973" s="1" t="s">
        <v>39</v>
      </c>
      <c r="F973" s="1" t="s">
        <v>28</v>
      </c>
      <c r="H973" s="1" t="s">
        <v>48</v>
      </c>
      <c r="I973" s="1" t="s">
        <v>12</v>
      </c>
      <c r="J973" s="1" t="s">
        <v>43</v>
      </c>
      <c r="K973" s="1" t="s">
        <v>14</v>
      </c>
      <c r="L973" s="1" t="s">
        <v>12</v>
      </c>
      <c r="M973" s="1" t="s">
        <v>12</v>
      </c>
      <c r="N973" s="1">
        <v>30.18</v>
      </c>
      <c r="O973" s="1" t="s">
        <v>24</v>
      </c>
      <c r="P973" s="1">
        <v>-6.71</v>
      </c>
      <c r="Q973" s="1" t="s">
        <v>16</v>
      </c>
      <c r="R973" s="1" t="str">
        <f>IF(N973="","",VLOOKUP(N973,Prior_levels,2,TRUE))</f>
        <v>H</v>
      </c>
    </row>
    <row r="974" spans="1:18" x14ac:dyDescent="0.2">
      <c r="A974" s="1" t="s">
        <v>120</v>
      </c>
      <c r="B974" s="1" t="s">
        <v>12</v>
      </c>
      <c r="C974" s="2">
        <v>41155</v>
      </c>
      <c r="D974" s="1">
        <v>10</v>
      </c>
      <c r="E974" s="1" t="s">
        <v>39</v>
      </c>
      <c r="F974" s="1" t="s">
        <v>28</v>
      </c>
      <c r="H974" s="1" t="s">
        <v>48</v>
      </c>
      <c r="I974" s="1" t="s">
        <v>12</v>
      </c>
      <c r="J974" s="1" t="s">
        <v>43</v>
      </c>
      <c r="K974" s="1" t="s">
        <v>14</v>
      </c>
      <c r="L974" s="1" t="s">
        <v>12</v>
      </c>
      <c r="M974" s="1" t="s">
        <v>12</v>
      </c>
      <c r="N974" s="1">
        <v>30.18</v>
      </c>
      <c r="O974" s="1" t="s">
        <v>27</v>
      </c>
      <c r="P974" s="1" t="s">
        <v>28</v>
      </c>
      <c r="Q974" s="1" t="s">
        <v>16</v>
      </c>
      <c r="R974" s="1" t="str">
        <f>IF(N974="","",VLOOKUP(N974,Prior_levels,2,TRUE))</f>
        <v>H</v>
      </c>
    </row>
    <row r="975" spans="1:18" x14ac:dyDescent="0.2">
      <c r="A975" s="1" t="s">
        <v>120</v>
      </c>
      <c r="B975" s="1" t="s">
        <v>12</v>
      </c>
      <c r="C975" s="2">
        <v>41155</v>
      </c>
      <c r="D975" s="1">
        <v>10</v>
      </c>
      <c r="E975" s="1" t="s">
        <v>39</v>
      </c>
      <c r="F975" s="1" t="s">
        <v>28</v>
      </c>
      <c r="H975" s="1" t="s">
        <v>48</v>
      </c>
      <c r="I975" s="1" t="s">
        <v>12</v>
      </c>
      <c r="J975" s="1" t="s">
        <v>43</v>
      </c>
      <c r="K975" s="1" t="s">
        <v>14</v>
      </c>
      <c r="L975" s="1" t="s">
        <v>12</v>
      </c>
      <c r="M975" s="1" t="s">
        <v>12</v>
      </c>
      <c r="N975" s="1">
        <v>30.18</v>
      </c>
      <c r="O975" s="1" t="s">
        <v>29</v>
      </c>
      <c r="P975" s="1" t="s">
        <v>28</v>
      </c>
      <c r="Q975" s="1" t="s">
        <v>16</v>
      </c>
      <c r="R975" s="1" t="str">
        <f>IF(N975="","",VLOOKUP(N975,Prior_levels,2,TRUE))</f>
        <v>H</v>
      </c>
    </row>
    <row r="976" spans="1:18" x14ac:dyDescent="0.2">
      <c r="A976" s="1" t="s">
        <v>120</v>
      </c>
      <c r="B976" s="1" t="s">
        <v>12</v>
      </c>
      <c r="C976" s="2">
        <v>41155</v>
      </c>
      <c r="D976" s="1">
        <v>10</v>
      </c>
      <c r="E976" s="1" t="s">
        <v>39</v>
      </c>
      <c r="F976" s="1" t="s">
        <v>28</v>
      </c>
      <c r="H976" s="1" t="s">
        <v>48</v>
      </c>
      <c r="I976" s="1" t="s">
        <v>12</v>
      </c>
      <c r="J976" s="1" t="s">
        <v>43</v>
      </c>
      <c r="K976" s="1" t="s">
        <v>14</v>
      </c>
      <c r="L976" s="1" t="s">
        <v>12</v>
      </c>
      <c r="M976" s="1" t="s">
        <v>12</v>
      </c>
      <c r="N976" s="1">
        <v>30.18</v>
      </c>
      <c r="O976" s="1" t="s">
        <v>30</v>
      </c>
      <c r="P976" s="1" t="s">
        <v>28</v>
      </c>
      <c r="Q976" s="1" t="s">
        <v>16</v>
      </c>
      <c r="R976" s="1" t="str">
        <f>IF(N976="","",VLOOKUP(N976,Prior_levels,2,TRUE))</f>
        <v>H</v>
      </c>
    </row>
    <row r="977" spans="1:18" x14ac:dyDescent="0.2">
      <c r="A977" s="1" t="s">
        <v>120</v>
      </c>
      <c r="B977" s="1" t="s">
        <v>12</v>
      </c>
      <c r="C977" s="2">
        <v>41155</v>
      </c>
      <c r="D977" s="1">
        <v>10</v>
      </c>
      <c r="E977" s="1" t="s">
        <v>39</v>
      </c>
      <c r="F977" s="1" t="s">
        <v>28</v>
      </c>
      <c r="H977" s="1" t="s">
        <v>48</v>
      </c>
      <c r="I977" s="1" t="s">
        <v>12</v>
      </c>
      <c r="J977" s="1" t="s">
        <v>43</v>
      </c>
      <c r="K977" s="1" t="s">
        <v>14</v>
      </c>
      <c r="L977" s="1" t="s">
        <v>12</v>
      </c>
      <c r="M977" s="1" t="s">
        <v>12</v>
      </c>
      <c r="N977" s="1">
        <v>30.18</v>
      </c>
      <c r="O977" s="1" t="s">
        <v>31</v>
      </c>
      <c r="P977" s="1" t="s">
        <v>28</v>
      </c>
      <c r="Q977" s="1" t="s">
        <v>16</v>
      </c>
      <c r="R977" s="1" t="str">
        <f>IF(N977="","",VLOOKUP(N977,Prior_levels,2,TRUE))</f>
        <v>H</v>
      </c>
    </row>
    <row r="978" spans="1:18" x14ac:dyDescent="0.2">
      <c r="A978" s="1" t="s">
        <v>120</v>
      </c>
      <c r="B978" s="1" t="s">
        <v>12</v>
      </c>
      <c r="C978" s="2">
        <v>41155</v>
      </c>
      <c r="D978" s="1">
        <v>10</v>
      </c>
      <c r="E978" s="1" t="s">
        <v>39</v>
      </c>
      <c r="F978" s="1" t="s">
        <v>28</v>
      </c>
      <c r="H978" s="1" t="s">
        <v>48</v>
      </c>
      <c r="I978" s="1" t="s">
        <v>12</v>
      </c>
      <c r="J978" s="1" t="s">
        <v>43</v>
      </c>
      <c r="K978" s="1" t="s">
        <v>14</v>
      </c>
      <c r="L978" s="1" t="s">
        <v>12</v>
      </c>
      <c r="M978" s="1" t="s">
        <v>12</v>
      </c>
      <c r="N978" s="1">
        <v>30.18</v>
      </c>
      <c r="O978" s="1" t="s">
        <v>32</v>
      </c>
      <c r="P978" s="1" t="s">
        <v>28</v>
      </c>
      <c r="Q978" s="1" t="s">
        <v>16</v>
      </c>
      <c r="R978" s="1" t="str">
        <f>IF(N978="","",VLOOKUP(N978,Prior_levels,2,TRUE))</f>
        <v>H</v>
      </c>
    </row>
    <row r="979" spans="1:18" x14ac:dyDescent="0.2">
      <c r="A979" s="1" t="s">
        <v>121</v>
      </c>
      <c r="B979" s="1" t="s">
        <v>12</v>
      </c>
      <c r="C979" s="2">
        <v>41155</v>
      </c>
      <c r="D979" s="1">
        <v>10</v>
      </c>
      <c r="E979" s="1" t="s">
        <v>42</v>
      </c>
      <c r="I979" s="1" t="s">
        <v>12</v>
      </c>
      <c r="J979" s="1" t="s">
        <v>40</v>
      </c>
      <c r="K979" s="1" t="s">
        <v>14</v>
      </c>
      <c r="L979" s="1" t="s">
        <v>12</v>
      </c>
      <c r="M979" s="1" t="s">
        <v>12</v>
      </c>
      <c r="N979" s="1">
        <v>27.12</v>
      </c>
      <c r="O979" s="1" t="s">
        <v>15</v>
      </c>
      <c r="P979" s="1">
        <v>4.5</v>
      </c>
      <c r="Q979" s="1" t="s">
        <v>16</v>
      </c>
      <c r="R979" s="1" t="str">
        <f>IF(N979="","",VLOOKUP(N979,Prior_levels,2,TRUE))</f>
        <v>M</v>
      </c>
    </row>
    <row r="980" spans="1:18" x14ac:dyDescent="0.2">
      <c r="A980" s="1" t="s">
        <v>121</v>
      </c>
      <c r="B980" s="1" t="s">
        <v>12</v>
      </c>
      <c r="C980" s="2">
        <v>41155</v>
      </c>
      <c r="D980" s="1">
        <v>10</v>
      </c>
      <c r="E980" s="1" t="s">
        <v>42</v>
      </c>
      <c r="I980" s="1" t="s">
        <v>12</v>
      </c>
      <c r="J980" s="1" t="s">
        <v>40</v>
      </c>
      <c r="K980" s="1" t="s">
        <v>14</v>
      </c>
      <c r="L980" s="1" t="s">
        <v>12</v>
      </c>
      <c r="M980" s="1" t="s">
        <v>12</v>
      </c>
      <c r="N980" s="1">
        <v>27.12</v>
      </c>
      <c r="O980" s="1" t="s">
        <v>17</v>
      </c>
      <c r="P980" s="1">
        <v>-0.05</v>
      </c>
      <c r="Q980" s="1" t="s">
        <v>16</v>
      </c>
      <c r="R980" s="1" t="str">
        <f>IF(N980="","",VLOOKUP(N980,Prior_levels,2,TRUE))</f>
        <v>M</v>
      </c>
    </row>
    <row r="981" spans="1:18" x14ac:dyDescent="0.2">
      <c r="A981" s="1" t="s">
        <v>121</v>
      </c>
      <c r="B981" s="1" t="s">
        <v>12</v>
      </c>
      <c r="C981" s="2">
        <v>41155</v>
      </c>
      <c r="D981" s="1">
        <v>10</v>
      </c>
      <c r="E981" s="1" t="s">
        <v>42</v>
      </c>
      <c r="I981" s="1" t="s">
        <v>12</v>
      </c>
      <c r="J981" s="1" t="s">
        <v>40</v>
      </c>
      <c r="K981" s="1" t="s">
        <v>14</v>
      </c>
      <c r="L981" s="1" t="s">
        <v>12</v>
      </c>
      <c r="M981" s="1" t="s">
        <v>12</v>
      </c>
      <c r="N981" s="1">
        <v>27.12</v>
      </c>
      <c r="O981" s="1" t="s">
        <v>18</v>
      </c>
      <c r="P981" s="1">
        <v>10</v>
      </c>
      <c r="Q981" s="1" t="s">
        <v>16</v>
      </c>
      <c r="R981" s="1" t="str">
        <f>IF(N981="","",VLOOKUP(N981,Prior_levels,2,TRUE))</f>
        <v>M</v>
      </c>
    </row>
    <row r="982" spans="1:18" x14ac:dyDescent="0.2">
      <c r="A982" s="1" t="s">
        <v>121</v>
      </c>
      <c r="B982" s="1" t="s">
        <v>12</v>
      </c>
      <c r="C982" s="2">
        <v>41155</v>
      </c>
      <c r="D982" s="1">
        <v>10</v>
      </c>
      <c r="E982" s="1" t="s">
        <v>42</v>
      </c>
      <c r="I982" s="1" t="s">
        <v>12</v>
      </c>
      <c r="J982" s="1" t="s">
        <v>40</v>
      </c>
      <c r="K982" s="1" t="s">
        <v>14</v>
      </c>
      <c r="L982" s="1" t="s">
        <v>12</v>
      </c>
      <c r="M982" s="1" t="s">
        <v>12</v>
      </c>
      <c r="N982" s="1">
        <v>27.12</v>
      </c>
      <c r="O982" s="1" t="s">
        <v>19</v>
      </c>
      <c r="P982" s="1">
        <v>10</v>
      </c>
      <c r="Q982" s="1" t="s">
        <v>16</v>
      </c>
      <c r="R982" s="1" t="str">
        <f>IF(N982="","",VLOOKUP(N982,Prior_levels,2,TRUE))</f>
        <v>M</v>
      </c>
    </row>
    <row r="983" spans="1:18" x14ac:dyDescent="0.2">
      <c r="A983" s="1" t="s">
        <v>121</v>
      </c>
      <c r="B983" s="1" t="s">
        <v>12</v>
      </c>
      <c r="C983" s="2">
        <v>41155</v>
      </c>
      <c r="D983" s="1">
        <v>10</v>
      </c>
      <c r="E983" s="1" t="s">
        <v>42</v>
      </c>
      <c r="I983" s="1" t="s">
        <v>12</v>
      </c>
      <c r="J983" s="1" t="s">
        <v>40</v>
      </c>
      <c r="K983" s="1" t="s">
        <v>14</v>
      </c>
      <c r="L983" s="1" t="s">
        <v>12</v>
      </c>
      <c r="M983" s="1" t="s">
        <v>12</v>
      </c>
      <c r="N983" s="1">
        <v>27.12</v>
      </c>
      <c r="O983" s="1" t="s">
        <v>20</v>
      </c>
      <c r="P983" s="1">
        <v>12</v>
      </c>
      <c r="Q983" s="1" t="s">
        <v>16</v>
      </c>
      <c r="R983" s="1" t="str">
        <f>IF(N983="","",VLOOKUP(N983,Prior_levels,2,TRUE))</f>
        <v>M</v>
      </c>
    </row>
    <row r="984" spans="1:18" x14ac:dyDescent="0.2">
      <c r="A984" s="1" t="s">
        <v>121</v>
      </c>
      <c r="B984" s="1" t="s">
        <v>12</v>
      </c>
      <c r="C984" s="2">
        <v>41155</v>
      </c>
      <c r="D984" s="1">
        <v>10</v>
      </c>
      <c r="E984" s="1" t="s">
        <v>42</v>
      </c>
      <c r="I984" s="1" t="s">
        <v>12</v>
      </c>
      <c r="J984" s="1" t="s">
        <v>40</v>
      </c>
      <c r="K984" s="1" t="s">
        <v>14</v>
      </c>
      <c r="L984" s="1" t="s">
        <v>12</v>
      </c>
      <c r="M984" s="1" t="s">
        <v>12</v>
      </c>
      <c r="N984" s="1">
        <v>27.12</v>
      </c>
      <c r="O984" s="1" t="s">
        <v>21</v>
      </c>
      <c r="P984" s="1">
        <v>13</v>
      </c>
      <c r="Q984" s="1" t="s">
        <v>16</v>
      </c>
      <c r="R984" s="1" t="str">
        <f>IF(N984="","",VLOOKUP(N984,Prior_levels,2,TRUE))</f>
        <v>M</v>
      </c>
    </row>
    <row r="985" spans="1:18" x14ac:dyDescent="0.2">
      <c r="A985" s="1" t="s">
        <v>121</v>
      </c>
      <c r="B985" s="1" t="s">
        <v>12</v>
      </c>
      <c r="C985" s="2">
        <v>41155</v>
      </c>
      <c r="D985" s="1">
        <v>10</v>
      </c>
      <c r="E985" s="1" t="s">
        <v>42</v>
      </c>
      <c r="I985" s="1" t="s">
        <v>12</v>
      </c>
      <c r="J985" s="1" t="s">
        <v>40</v>
      </c>
      <c r="K985" s="1" t="s">
        <v>14</v>
      </c>
      <c r="L985" s="1" t="s">
        <v>12</v>
      </c>
      <c r="M985" s="1" t="s">
        <v>12</v>
      </c>
      <c r="N985" s="1">
        <v>27.12</v>
      </c>
      <c r="O985" s="1" t="s">
        <v>22</v>
      </c>
      <c r="P985" s="1">
        <v>-0.05</v>
      </c>
      <c r="Q985" s="1" t="s">
        <v>16</v>
      </c>
      <c r="R985" s="1" t="str">
        <f>IF(N985="","",VLOOKUP(N985,Prior_levels,2,TRUE))</f>
        <v>M</v>
      </c>
    </row>
    <row r="986" spans="1:18" x14ac:dyDescent="0.2">
      <c r="A986" s="1" t="s">
        <v>121</v>
      </c>
      <c r="B986" s="1" t="s">
        <v>12</v>
      </c>
      <c r="C986" s="2">
        <v>41155</v>
      </c>
      <c r="D986" s="1">
        <v>10</v>
      </c>
      <c r="E986" s="1" t="s">
        <v>42</v>
      </c>
      <c r="I986" s="1" t="s">
        <v>12</v>
      </c>
      <c r="J986" s="1" t="s">
        <v>40</v>
      </c>
      <c r="K986" s="1" t="s">
        <v>14</v>
      </c>
      <c r="L986" s="1" t="s">
        <v>12</v>
      </c>
      <c r="M986" s="1" t="s">
        <v>12</v>
      </c>
      <c r="N986" s="1">
        <v>27.12</v>
      </c>
      <c r="O986" s="1" t="s">
        <v>23</v>
      </c>
      <c r="P986" s="1">
        <v>0.36</v>
      </c>
      <c r="Q986" s="1" t="s">
        <v>16</v>
      </c>
      <c r="R986" s="1" t="str">
        <f>IF(N986="","",VLOOKUP(N986,Prior_levels,2,TRUE))</f>
        <v>M</v>
      </c>
    </row>
    <row r="987" spans="1:18" x14ac:dyDescent="0.2">
      <c r="A987" s="1" t="s">
        <v>121</v>
      </c>
      <c r="B987" s="1" t="s">
        <v>12</v>
      </c>
      <c r="C987" s="2">
        <v>41155</v>
      </c>
      <c r="D987" s="1">
        <v>10</v>
      </c>
      <c r="E987" s="1" t="s">
        <v>42</v>
      </c>
      <c r="I987" s="1" t="s">
        <v>12</v>
      </c>
      <c r="J987" s="1" t="s">
        <v>40</v>
      </c>
      <c r="K987" s="1" t="s">
        <v>14</v>
      </c>
      <c r="L987" s="1" t="s">
        <v>12</v>
      </c>
      <c r="M987" s="1" t="s">
        <v>12</v>
      </c>
      <c r="N987" s="1">
        <v>27.12</v>
      </c>
      <c r="O987" s="1" t="s">
        <v>24</v>
      </c>
      <c r="P987" s="1">
        <v>0.75</v>
      </c>
      <c r="Q987" s="1" t="s">
        <v>16</v>
      </c>
      <c r="R987" s="1" t="str">
        <f>IF(N987="","",VLOOKUP(N987,Prior_levels,2,TRUE))</f>
        <v>M</v>
      </c>
    </row>
    <row r="988" spans="1:18" x14ac:dyDescent="0.2">
      <c r="A988" s="1" t="s">
        <v>121</v>
      </c>
      <c r="B988" s="1" t="s">
        <v>12</v>
      </c>
      <c r="C988" s="2">
        <v>41155</v>
      </c>
      <c r="D988" s="1">
        <v>10</v>
      </c>
      <c r="E988" s="1" t="s">
        <v>42</v>
      </c>
      <c r="I988" s="1" t="s">
        <v>12</v>
      </c>
      <c r="J988" s="1" t="s">
        <v>40</v>
      </c>
      <c r="K988" s="1" t="s">
        <v>14</v>
      </c>
      <c r="L988" s="1" t="s">
        <v>12</v>
      </c>
      <c r="M988" s="1" t="s">
        <v>12</v>
      </c>
      <c r="N988" s="1">
        <v>27.12</v>
      </c>
      <c r="O988" s="1" t="s">
        <v>25</v>
      </c>
      <c r="P988" s="1">
        <v>-1.89</v>
      </c>
      <c r="Q988" s="1" t="s">
        <v>16</v>
      </c>
      <c r="R988" s="1" t="str">
        <f>IF(N988="","",VLOOKUP(N988,Prior_levels,2,TRUE))</f>
        <v>M</v>
      </c>
    </row>
    <row r="989" spans="1:18" x14ac:dyDescent="0.2">
      <c r="A989" s="1" t="s">
        <v>121</v>
      </c>
      <c r="B989" s="1" t="s">
        <v>12</v>
      </c>
      <c r="C989" s="2">
        <v>41155</v>
      </c>
      <c r="D989" s="1">
        <v>10</v>
      </c>
      <c r="E989" s="1" t="s">
        <v>42</v>
      </c>
      <c r="I989" s="1" t="s">
        <v>12</v>
      </c>
      <c r="J989" s="1" t="s">
        <v>40</v>
      </c>
      <c r="K989" s="1" t="s">
        <v>14</v>
      </c>
      <c r="L989" s="1" t="s">
        <v>12</v>
      </c>
      <c r="M989" s="1" t="s">
        <v>12</v>
      </c>
      <c r="N989" s="1">
        <v>27.12</v>
      </c>
      <c r="O989" s="1" t="s">
        <v>26</v>
      </c>
      <c r="P989" s="1">
        <v>9</v>
      </c>
      <c r="Q989" s="1" t="s">
        <v>16</v>
      </c>
      <c r="R989" s="1" t="str">
        <f>IF(N989="","",VLOOKUP(N989,Prior_levels,2,TRUE))</f>
        <v>M</v>
      </c>
    </row>
    <row r="990" spans="1:18" x14ac:dyDescent="0.2">
      <c r="A990" s="1" t="s">
        <v>121</v>
      </c>
      <c r="B990" s="1" t="s">
        <v>12</v>
      </c>
      <c r="C990" s="2">
        <v>41155</v>
      </c>
      <c r="D990" s="1">
        <v>10</v>
      </c>
      <c r="E990" s="1" t="s">
        <v>42</v>
      </c>
      <c r="I990" s="1" t="s">
        <v>12</v>
      </c>
      <c r="J990" s="1" t="s">
        <v>40</v>
      </c>
      <c r="K990" s="1" t="s">
        <v>14</v>
      </c>
      <c r="L990" s="1" t="s">
        <v>12</v>
      </c>
      <c r="M990" s="1" t="s">
        <v>12</v>
      </c>
      <c r="N990" s="1">
        <v>27.12</v>
      </c>
      <c r="O990" s="1" t="s">
        <v>27</v>
      </c>
      <c r="P990" s="1" t="s">
        <v>37</v>
      </c>
      <c r="Q990" s="1" t="s">
        <v>16</v>
      </c>
      <c r="R990" s="1" t="str">
        <f>IF(N990="","",VLOOKUP(N990,Prior_levels,2,TRUE))</f>
        <v>M</v>
      </c>
    </row>
    <row r="991" spans="1:18" x14ac:dyDescent="0.2">
      <c r="A991" s="1" t="s">
        <v>121</v>
      </c>
      <c r="B991" s="1" t="s">
        <v>12</v>
      </c>
      <c r="C991" s="2">
        <v>41155</v>
      </c>
      <c r="D991" s="1">
        <v>10</v>
      </c>
      <c r="E991" s="1" t="s">
        <v>42</v>
      </c>
      <c r="I991" s="1" t="s">
        <v>12</v>
      </c>
      <c r="J991" s="1" t="s">
        <v>40</v>
      </c>
      <c r="K991" s="1" t="s">
        <v>14</v>
      </c>
      <c r="L991" s="1" t="s">
        <v>12</v>
      </c>
      <c r="M991" s="1" t="s">
        <v>12</v>
      </c>
      <c r="N991" s="1">
        <v>27.12</v>
      </c>
      <c r="O991" s="1" t="s">
        <v>29</v>
      </c>
      <c r="P991" s="1" t="s">
        <v>37</v>
      </c>
      <c r="Q991" s="1" t="s">
        <v>16</v>
      </c>
      <c r="R991" s="1" t="str">
        <f>IF(N991="","",VLOOKUP(N991,Prior_levels,2,TRUE))</f>
        <v>M</v>
      </c>
    </row>
    <row r="992" spans="1:18" x14ac:dyDescent="0.2">
      <c r="A992" s="1" t="s">
        <v>121</v>
      </c>
      <c r="B992" s="1" t="s">
        <v>12</v>
      </c>
      <c r="C992" s="2">
        <v>41155</v>
      </c>
      <c r="D992" s="1">
        <v>10</v>
      </c>
      <c r="E992" s="1" t="s">
        <v>42</v>
      </c>
      <c r="I992" s="1" t="s">
        <v>12</v>
      </c>
      <c r="J992" s="1" t="s">
        <v>40</v>
      </c>
      <c r="K992" s="1" t="s">
        <v>14</v>
      </c>
      <c r="L992" s="1" t="s">
        <v>12</v>
      </c>
      <c r="M992" s="1" t="s">
        <v>12</v>
      </c>
      <c r="N992" s="1">
        <v>27.12</v>
      </c>
      <c r="O992" s="1" t="s">
        <v>30</v>
      </c>
      <c r="P992" s="1" t="s">
        <v>37</v>
      </c>
      <c r="Q992" s="1" t="s">
        <v>16</v>
      </c>
      <c r="R992" s="1" t="str">
        <f>IF(N992="","",VLOOKUP(N992,Prior_levels,2,TRUE))</f>
        <v>M</v>
      </c>
    </row>
    <row r="993" spans="1:18" x14ac:dyDescent="0.2">
      <c r="A993" s="1" t="s">
        <v>121</v>
      </c>
      <c r="B993" s="1" t="s">
        <v>12</v>
      </c>
      <c r="C993" s="2">
        <v>41155</v>
      </c>
      <c r="D993" s="1">
        <v>10</v>
      </c>
      <c r="E993" s="1" t="s">
        <v>42</v>
      </c>
      <c r="I993" s="1" t="s">
        <v>12</v>
      </c>
      <c r="J993" s="1" t="s">
        <v>40</v>
      </c>
      <c r="K993" s="1" t="s">
        <v>14</v>
      </c>
      <c r="L993" s="1" t="s">
        <v>12</v>
      </c>
      <c r="M993" s="1" t="s">
        <v>12</v>
      </c>
      <c r="N993" s="1">
        <v>27.12</v>
      </c>
      <c r="O993" s="1" t="s">
        <v>31</v>
      </c>
      <c r="P993" s="1" t="s">
        <v>37</v>
      </c>
      <c r="Q993" s="1" t="s">
        <v>16</v>
      </c>
      <c r="R993" s="1" t="str">
        <f>IF(N993="","",VLOOKUP(N993,Prior_levels,2,TRUE))</f>
        <v>M</v>
      </c>
    </row>
    <row r="994" spans="1:18" x14ac:dyDescent="0.2">
      <c r="A994" s="1" t="s">
        <v>121</v>
      </c>
      <c r="B994" s="1" t="s">
        <v>12</v>
      </c>
      <c r="C994" s="2">
        <v>41155</v>
      </c>
      <c r="D994" s="1">
        <v>10</v>
      </c>
      <c r="E994" s="1" t="s">
        <v>42</v>
      </c>
      <c r="I994" s="1" t="s">
        <v>12</v>
      </c>
      <c r="J994" s="1" t="s">
        <v>40</v>
      </c>
      <c r="K994" s="1" t="s">
        <v>14</v>
      </c>
      <c r="L994" s="1" t="s">
        <v>12</v>
      </c>
      <c r="M994" s="1" t="s">
        <v>12</v>
      </c>
      <c r="N994" s="1">
        <v>27.12</v>
      </c>
      <c r="O994" s="1" t="s">
        <v>32</v>
      </c>
      <c r="P994" s="1" t="s">
        <v>37</v>
      </c>
      <c r="Q994" s="1" t="s">
        <v>16</v>
      </c>
      <c r="R994" s="1" t="str">
        <f>IF(N994="","",VLOOKUP(N994,Prior_levels,2,TRUE))</f>
        <v>M</v>
      </c>
    </row>
    <row r="995" spans="1:18" x14ac:dyDescent="0.2">
      <c r="A995" s="1" t="s">
        <v>122</v>
      </c>
      <c r="B995" s="1" t="s">
        <v>12</v>
      </c>
      <c r="C995" s="2">
        <v>41155</v>
      </c>
      <c r="D995" s="1">
        <v>10</v>
      </c>
      <c r="E995" s="1" t="s">
        <v>52</v>
      </c>
      <c r="I995" s="1" t="s">
        <v>12</v>
      </c>
      <c r="J995" s="1" t="s">
        <v>40</v>
      </c>
      <c r="K995" s="1" t="s">
        <v>14</v>
      </c>
      <c r="L995" s="1" t="s">
        <v>12</v>
      </c>
      <c r="M995" s="1" t="s">
        <v>12</v>
      </c>
      <c r="N995" s="1">
        <v>39.18</v>
      </c>
      <c r="O995" s="1" t="s">
        <v>15</v>
      </c>
      <c r="P995" s="1">
        <v>5.7</v>
      </c>
      <c r="Q995" s="1" t="s">
        <v>16</v>
      </c>
      <c r="R995" s="1" t="str">
        <f>IF(N995="","",VLOOKUP(N995,Prior_levels,2,TRUE))</f>
        <v>H</v>
      </c>
    </row>
    <row r="996" spans="1:18" x14ac:dyDescent="0.2">
      <c r="A996" s="1" t="s">
        <v>122</v>
      </c>
      <c r="B996" s="1" t="s">
        <v>12</v>
      </c>
      <c r="C996" s="2">
        <v>41155</v>
      </c>
      <c r="D996" s="1">
        <v>10</v>
      </c>
      <c r="E996" s="1" t="s">
        <v>52</v>
      </c>
      <c r="I996" s="1" t="s">
        <v>12</v>
      </c>
      <c r="J996" s="1" t="s">
        <v>40</v>
      </c>
      <c r="K996" s="1" t="s">
        <v>14</v>
      </c>
      <c r="L996" s="1" t="s">
        <v>12</v>
      </c>
      <c r="M996" s="1" t="s">
        <v>12</v>
      </c>
      <c r="N996" s="1">
        <v>39.18</v>
      </c>
      <c r="O996" s="1" t="s">
        <v>18</v>
      </c>
      <c r="P996" s="1">
        <v>14</v>
      </c>
      <c r="Q996" s="1" t="s">
        <v>16</v>
      </c>
      <c r="R996" s="1" t="str">
        <f>IF(N996="","",VLOOKUP(N996,Prior_levels,2,TRUE))</f>
        <v>H</v>
      </c>
    </row>
    <row r="997" spans="1:18" x14ac:dyDescent="0.2">
      <c r="A997" s="1" t="s">
        <v>122</v>
      </c>
      <c r="B997" s="1" t="s">
        <v>12</v>
      </c>
      <c r="C997" s="2">
        <v>41155</v>
      </c>
      <c r="D997" s="1">
        <v>10</v>
      </c>
      <c r="E997" s="1" t="s">
        <v>52</v>
      </c>
      <c r="I997" s="1" t="s">
        <v>12</v>
      </c>
      <c r="J997" s="1" t="s">
        <v>40</v>
      </c>
      <c r="K997" s="1" t="s">
        <v>14</v>
      </c>
      <c r="L997" s="1" t="s">
        <v>12</v>
      </c>
      <c r="M997" s="1" t="s">
        <v>12</v>
      </c>
      <c r="N997" s="1">
        <v>39.18</v>
      </c>
      <c r="O997" s="1" t="s">
        <v>19</v>
      </c>
      <c r="P997" s="1">
        <v>10</v>
      </c>
      <c r="Q997" s="1" t="s">
        <v>16</v>
      </c>
      <c r="R997" s="1" t="str">
        <f>IF(N997="","",VLOOKUP(N997,Prior_levels,2,TRUE))</f>
        <v>H</v>
      </c>
    </row>
    <row r="998" spans="1:18" x14ac:dyDescent="0.2">
      <c r="A998" s="1" t="s">
        <v>122</v>
      </c>
      <c r="B998" s="1" t="s">
        <v>12</v>
      </c>
      <c r="C998" s="2">
        <v>41155</v>
      </c>
      <c r="D998" s="1">
        <v>10</v>
      </c>
      <c r="E998" s="1" t="s">
        <v>52</v>
      </c>
      <c r="I998" s="1" t="s">
        <v>12</v>
      </c>
      <c r="J998" s="1" t="s">
        <v>40</v>
      </c>
      <c r="K998" s="1" t="s">
        <v>14</v>
      </c>
      <c r="L998" s="1" t="s">
        <v>12</v>
      </c>
      <c r="M998" s="1" t="s">
        <v>12</v>
      </c>
      <c r="N998" s="1">
        <v>39.18</v>
      </c>
      <c r="O998" s="1" t="s">
        <v>20</v>
      </c>
      <c r="P998" s="1">
        <v>18</v>
      </c>
      <c r="Q998" s="1" t="s">
        <v>16</v>
      </c>
      <c r="R998" s="1" t="str">
        <f>IF(N998="","",VLOOKUP(N998,Prior_levels,2,TRUE))</f>
        <v>H</v>
      </c>
    </row>
    <row r="999" spans="1:18" x14ac:dyDescent="0.2">
      <c r="A999" s="1" t="s">
        <v>122</v>
      </c>
      <c r="B999" s="1" t="s">
        <v>12</v>
      </c>
      <c r="C999" s="2">
        <v>41155</v>
      </c>
      <c r="D999" s="1">
        <v>10</v>
      </c>
      <c r="E999" s="1" t="s">
        <v>52</v>
      </c>
      <c r="I999" s="1" t="s">
        <v>12</v>
      </c>
      <c r="J999" s="1" t="s">
        <v>40</v>
      </c>
      <c r="K999" s="1" t="s">
        <v>14</v>
      </c>
      <c r="L999" s="1" t="s">
        <v>12</v>
      </c>
      <c r="M999" s="1" t="s">
        <v>12</v>
      </c>
      <c r="N999" s="1">
        <v>39.18</v>
      </c>
      <c r="O999" s="1" t="s">
        <v>21</v>
      </c>
      <c r="P999" s="1">
        <v>15</v>
      </c>
      <c r="Q999" s="1" t="s">
        <v>16</v>
      </c>
      <c r="R999" s="1" t="str">
        <f>IF(N999="","",VLOOKUP(N999,Prior_levels,2,TRUE))</f>
        <v>H</v>
      </c>
    </row>
    <row r="1000" spans="1:18" x14ac:dyDescent="0.2">
      <c r="A1000" s="1" t="s">
        <v>122</v>
      </c>
      <c r="B1000" s="1" t="s">
        <v>12</v>
      </c>
      <c r="C1000" s="2">
        <v>41155</v>
      </c>
      <c r="D1000" s="1">
        <v>10</v>
      </c>
      <c r="E1000" s="1" t="s">
        <v>52</v>
      </c>
      <c r="I1000" s="1" t="s">
        <v>12</v>
      </c>
      <c r="J1000" s="1" t="s">
        <v>40</v>
      </c>
      <c r="K1000" s="1" t="s">
        <v>14</v>
      </c>
      <c r="L1000" s="1" t="s">
        <v>12</v>
      </c>
      <c r="M1000" s="1" t="s">
        <v>12</v>
      </c>
      <c r="N1000" s="1">
        <v>39.18</v>
      </c>
      <c r="O1000" s="1" t="s">
        <v>26</v>
      </c>
      <c r="P1000" s="1">
        <v>9</v>
      </c>
      <c r="Q1000" s="1" t="s">
        <v>16</v>
      </c>
      <c r="R1000" s="1" t="str">
        <f>IF(N1000="","",VLOOKUP(N1000,Prior_levels,2,TRUE))</f>
        <v>H</v>
      </c>
    </row>
    <row r="1001" spans="1:18" x14ac:dyDescent="0.2">
      <c r="A1001" s="1" t="s">
        <v>122</v>
      </c>
      <c r="B1001" s="1" t="s">
        <v>12</v>
      </c>
      <c r="C1001" s="2">
        <v>41155</v>
      </c>
      <c r="D1001" s="1">
        <v>10</v>
      </c>
      <c r="E1001" s="1" t="s">
        <v>52</v>
      </c>
      <c r="I1001" s="1" t="s">
        <v>12</v>
      </c>
      <c r="J1001" s="1" t="s">
        <v>40</v>
      </c>
      <c r="K1001" s="1" t="s">
        <v>14</v>
      </c>
      <c r="L1001" s="1" t="s">
        <v>12</v>
      </c>
      <c r="M1001" s="1" t="s">
        <v>12</v>
      </c>
      <c r="N1001" s="1">
        <v>39.18</v>
      </c>
      <c r="O1001" s="1" t="s">
        <v>32</v>
      </c>
      <c r="P1001" s="1" t="s">
        <v>37</v>
      </c>
      <c r="Q1001" s="1" t="s">
        <v>16</v>
      </c>
      <c r="R1001" s="1" t="str">
        <f>IF(N1001="","",VLOOKUP(N1001,Prior_levels,2,TRUE))</f>
        <v>H</v>
      </c>
    </row>
    <row r="1002" spans="1:18" x14ac:dyDescent="0.2">
      <c r="A1002" s="1" t="s">
        <v>122</v>
      </c>
      <c r="B1002" s="1" t="s">
        <v>12</v>
      </c>
      <c r="C1002" s="2">
        <v>41155</v>
      </c>
      <c r="D1002" s="1">
        <v>10</v>
      </c>
      <c r="E1002" s="1" t="s">
        <v>52</v>
      </c>
      <c r="I1002" s="1" t="s">
        <v>12</v>
      </c>
      <c r="J1002" s="1" t="s">
        <v>40</v>
      </c>
      <c r="K1002" s="1" t="s">
        <v>14</v>
      </c>
      <c r="L1002" s="1" t="s">
        <v>12</v>
      </c>
      <c r="M1002" s="1" t="s">
        <v>12</v>
      </c>
      <c r="N1002" s="1">
        <v>39.18</v>
      </c>
      <c r="O1002" s="1" t="s">
        <v>27</v>
      </c>
      <c r="P1002" s="1" t="s">
        <v>37</v>
      </c>
      <c r="Q1002" s="1" t="s">
        <v>16</v>
      </c>
      <c r="R1002" s="1" t="str">
        <f>IF(N1002="","",VLOOKUP(N1002,Prior_levels,2,TRUE))</f>
        <v>H</v>
      </c>
    </row>
    <row r="1003" spans="1:18" x14ac:dyDescent="0.2">
      <c r="A1003" s="1" t="s">
        <v>122</v>
      </c>
      <c r="B1003" s="1" t="s">
        <v>12</v>
      </c>
      <c r="C1003" s="2">
        <v>41155</v>
      </c>
      <c r="D1003" s="1">
        <v>10</v>
      </c>
      <c r="E1003" s="1" t="s">
        <v>52</v>
      </c>
      <c r="I1003" s="1" t="s">
        <v>12</v>
      </c>
      <c r="J1003" s="1" t="s">
        <v>40</v>
      </c>
      <c r="K1003" s="1" t="s">
        <v>14</v>
      </c>
      <c r="L1003" s="1" t="s">
        <v>12</v>
      </c>
      <c r="M1003" s="1" t="s">
        <v>12</v>
      </c>
      <c r="N1003" s="1">
        <v>39.18</v>
      </c>
      <c r="O1003" s="1" t="s">
        <v>29</v>
      </c>
      <c r="P1003" s="1" t="s">
        <v>37</v>
      </c>
      <c r="Q1003" s="1" t="s">
        <v>16</v>
      </c>
      <c r="R1003" s="1" t="str">
        <f>IF(N1003="","",VLOOKUP(N1003,Prior_levels,2,TRUE))</f>
        <v>H</v>
      </c>
    </row>
    <row r="1004" spans="1:18" x14ac:dyDescent="0.2">
      <c r="A1004" s="1" t="s">
        <v>122</v>
      </c>
      <c r="B1004" s="1" t="s">
        <v>12</v>
      </c>
      <c r="C1004" s="2">
        <v>41155</v>
      </c>
      <c r="D1004" s="1">
        <v>10</v>
      </c>
      <c r="E1004" s="1" t="s">
        <v>52</v>
      </c>
      <c r="I1004" s="1" t="s">
        <v>12</v>
      </c>
      <c r="J1004" s="1" t="s">
        <v>40</v>
      </c>
      <c r="K1004" s="1" t="s">
        <v>14</v>
      </c>
      <c r="L1004" s="1" t="s">
        <v>12</v>
      </c>
      <c r="M1004" s="1" t="s">
        <v>12</v>
      </c>
      <c r="N1004" s="1">
        <v>39.18</v>
      </c>
      <c r="O1004" s="1" t="s">
        <v>30</v>
      </c>
      <c r="P1004" s="1" t="s">
        <v>37</v>
      </c>
      <c r="Q1004" s="1" t="s">
        <v>16</v>
      </c>
      <c r="R1004" s="1" t="str">
        <f>IF(N1004="","",VLOOKUP(N1004,Prior_levels,2,TRUE))</f>
        <v>H</v>
      </c>
    </row>
    <row r="1005" spans="1:18" x14ac:dyDescent="0.2">
      <c r="A1005" s="1" t="s">
        <v>122</v>
      </c>
      <c r="B1005" s="1" t="s">
        <v>12</v>
      </c>
      <c r="C1005" s="2">
        <v>41155</v>
      </c>
      <c r="D1005" s="1">
        <v>10</v>
      </c>
      <c r="E1005" s="1" t="s">
        <v>52</v>
      </c>
      <c r="I1005" s="1" t="s">
        <v>12</v>
      </c>
      <c r="J1005" s="1" t="s">
        <v>40</v>
      </c>
      <c r="K1005" s="1" t="s">
        <v>14</v>
      </c>
      <c r="L1005" s="1" t="s">
        <v>12</v>
      </c>
      <c r="M1005" s="1" t="s">
        <v>12</v>
      </c>
      <c r="N1005" s="1">
        <v>39.18</v>
      </c>
      <c r="O1005" s="1" t="s">
        <v>31</v>
      </c>
      <c r="P1005" s="1" t="s">
        <v>28</v>
      </c>
      <c r="Q1005" s="1" t="s">
        <v>16</v>
      </c>
      <c r="R1005" s="1" t="str">
        <f>IF(N1005="","",VLOOKUP(N1005,Prior_levels,2,TRUE))</f>
        <v>H</v>
      </c>
    </row>
    <row r="1006" spans="1:18" x14ac:dyDescent="0.2">
      <c r="A1006" s="1" t="s">
        <v>123</v>
      </c>
      <c r="B1006" s="1" t="s">
        <v>12</v>
      </c>
      <c r="C1006" s="2">
        <v>41155</v>
      </c>
      <c r="D1006" s="1">
        <v>10</v>
      </c>
      <c r="E1006" s="1" t="s">
        <v>39</v>
      </c>
      <c r="I1006" s="1" t="s">
        <v>12</v>
      </c>
      <c r="J1006" s="1" t="s">
        <v>40</v>
      </c>
      <c r="K1006" s="1" t="s">
        <v>14</v>
      </c>
      <c r="L1006" s="1" t="s">
        <v>12</v>
      </c>
      <c r="M1006" s="1" t="s">
        <v>12</v>
      </c>
      <c r="N1006" s="1">
        <v>33.18</v>
      </c>
      <c r="O1006" s="1" t="s">
        <v>15</v>
      </c>
      <c r="P1006" s="1">
        <v>7</v>
      </c>
      <c r="Q1006" s="1" t="s">
        <v>16</v>
      </c>
      <c r="R1006" s="1" t="str">
        <f>IF(N1006="","",VLOOKUP(N1006,Prior_levels,2,TRUE))</f>
        <v>H</v>
      </c>
    </row>
    <row r="1007" spans="1:18" x14ac:dyDescent="0.2">
      <c r="A1007" s="1" t="s">
        <v>123</v>
      </c>
      <c r="B1007" s="1" t="s">
        <v>12</v>
      </c>
      <c r="C1007" s="2">
        <v>41155</v>
      </c>
      <c r="D1007" s="1">
        <v>10</v>
      </c>
      <c r="E1007" s="1" t="s">
        <v>39</v>
      </c>
      <c r="I1007" s="1" t="s">
        <v>12</v>
      </c>
      <c r="J1007" s="1" t="s">
        <v>40</v>
      </c>
      <c r="K1007" s="1" t="s">
        <v>14</v>
      </c>
      <c r="L1007" s="1" t="s">
        <v>12</v>
      </c>
      <c r="M1007" s="1" t="s">
        <v>12</v>
      </c>
      <c r="N1007" s="1">
        <v>33.18</v>
      </c>
      <c r="O1007" s="1" t="s">
        <v>17</v>
      </c>
      <c r="P1007" s="1">
        <v>0.45</v>
      </c>
      <c r="Q1007" s="1" t="s">
        <v>16</v>
      </c>
      <c r="R1007" s="1" t="str">
        <f>IF(N1007="","",VLOOKUP(N1007,Prior_levels,2,TRUE))</f>
        <v>H</v>
      </c>
    </row>
    <row r="1008" spans="1:18" x14ac:dyDescent="0.2">
      <c r="A1008" s="1" t="s">
        <v>123</v>
      </c>
      <c r="B1008" s="1" t="s">
        <v>12</v>
      </c>
      <c r="C1008" s="2">
        <v>41155</v>
      </c>
      <c r="D1008" s="1">
        <v>10</v>
      </c>
      <c r="E1008" s="1" t="s">
        <v>39</v>
      </c>
      <c r="I1008" s="1" t="s">
        <v>12</v>
      </c>
      <c r="J1008" s="1" t="s">
        <v>40</v>
      </c>
      <c r="K1008" s="1" t="s">
        <v>14</v>
      </c>
      <c r="L1008" s="1" t="s">
        <v>12</v>
      </c>
      <c r="M1008" s="1" t="s">
        <v>12</v>
      </c>
      <c r="N1008" s="1">
        <v>33.18</v>
      </c>
      <c r="O1008" s="1" t="s">
        <v>18</v>
      </c>
      <c r="P1008" s="1">
        <v>14</v>
      </c>
      <c r="Q1008" s="1" t="s">
        <v>16</v>
      </c>
      <c r="R1008" s="1" t="str">
        <f>IF(N1008="","",VLOOKUP(N1008,Prior_levels,2,TRUE))</f>
        <v>H</v>
      </c>
    </row>
    <row r="1009" spans="1:18" x14ac:dyDescent="0.2">
      <c r="A1009" s="1" t="s">
        <v>123</v>
      </c>
      <c r="B1009" s="1" t="s">
        <v>12</v>
      </c>
      <c r="C1009" s="2">
        <v>41155</v>
      </c>
      <c r="D1009" s="1">
        <v>10</v>
      </c>
      <c r="E1009" s="1" t="s">
        <v>39</v>
      </c>
      <c r="I1009" s="1" t="s">
        <v>12</v>
      </c>
      <c r="J1009" s="1" t="s">
        <v>40</v>
      </c>
      <c r="K1009" s="1" t="s">
        <v>14</v>
      </c>
      <c r="L1009" s="1" t="s">
        <v>12</v>
      </c>
      <c r="M1009" s="1" t="s">
        <v>12</v>
      </c>
      <c r="N1009" s="1">
        <v>33.18</v>
      </c>
      <c r="O1009" s="1" t="s">
        <v>19</v>
      </c>
      <c r="P1009" s="1">
        <v>14</v>
      </c>
      <c r="Q1009" s="1" t="s">
        <v>16</v>
      </c>
      <c r="R1009" s="1" t="str">
        <f>IF(N1009="","",VLOOKUP(N1009,Prior_levels,2,TRUE))</f>
        <v>H</v>
      </c>
    </row>
    <row r="1010" spans="1:18" x14ac:dyDescent="0.2">
      <c r="A1010" s="1" t="s">
        <v>123</v>
      </c>
      <c r="B1010" s="1" t="s">
        <v>12</v>
      </c>
      <c r="C1010" s="2">
        <v>41155</v>
      </c>
      <c r="D1010" s="1">
        <v>10</v>
      </c>
      <c r="E1010" s="1" t="s">
        <v>39</v>
      </c>
      <c r="I1010" s="1" t="s">
        <v>12</v>
      </c>
      <c r="J1010" s="1" t="s">
        <v>40</v>
      </c>
      <c r="K1010" s="1" t="s">
        <v>14</v>
      </c>
      <c r="L1010" s="1" t="s">
        <v>12</v>
      </c>
      <c r="M1010" s="1" t="s">
        <v>12</v>
      </c>
      <c r="N1010" s="1">
        <v>33.18</v>
      </c>
      <c r="O1010" s="1" t="s">
        <v>20</v>
      </c>
      <c r="P1010" s="1">
        <v>21</v>
      </c>
      <c r="Q1010" s="1" t="s">
        <v>16</v>
      </c>
      <c r="R1010" s="1" t="str">
        <f>IF(N1010="","",VLOOKUP(N1010,Prior_levels,2,TRUE))</f>
        <v>H</v>
      </c>
    </row>
    <row r="1011" spans="1:18" x14ac:dyDescent="0.2">
      <c r="A1011" s="1" t="s">
        <v>123</v>
      </c>
      <c r="B1011" s="1" t="s">
        <v>12</v>
      </c>
      <c r="C1011" s="2">
        <v>41155</v>
      </c>
      <c r="D1011" s="1">
        <v>10</v>
      </c>
      <c r="E1011" s="1" t="s">
        <v>39</v>
      </c>
      <c r="I1011" s="1" t="s">
        <v>12</v>
      </c>
      <c r="J1011" s="1" t="s">
        <v>40</v>
      </c>
      <c r="K1011" s="1" t="s">
        <v>14</v>
      </c>
      <c r="L1011" s="1" t="s">
        <v>12</v>
      </c>
      <c r="M1011" s="1" t="s">
        <v>12</v>
      </c>
      <c r="N1011" s="1">
        <v>33.18</v>
      </c>
      <c r="O1011" s="1" t="s">
        <v>21</v>
      </c>
      <c r="P1011" s="1">
        <v>21</v>
      </c>
      <c r="Q1011" s="1" t="s">
        <v>16</v>
      </c>
      <c r="R1011" s="1" t="str">
        <f>IF(N1011="","",VLOOKUP(N1011,Prior_levels,2,TRUE))</f>
        <v>H</v>
      </c>
    </row>
    <row r="1012" spans="1:18" x14ac:dyDescent="0.2">
      <c r="A1012" s="1" t="s">
        <v>123</v>
      </c>
      <c r="B1012" s="1" t="s">
        <v>12</v>
      </c>
      <c r="C1012" s="2">
        <v>41155</v>
      </c>
      <c r="D1012" s="1">
        <v>10</v>
      </c>
      <c r="E1012" s="1" t="s">
        <v>39</v>
      </c>
      <c r="I1012" s="1" t="s">
        <v>12</v>
      </c>
      <c r="J1012" s="1" t="s">
        <v>40</v>
      </c>
      <c r="K1012" s="1" t="s">
        <v>14</v>
      </c>
      <c r="L1012" s="1" t="s">
        <v>12</v>
      </c>
      <c r="M1012" s="1" t="s">
        <v>12</v>
      </c>
      <c r="N1012" s="1">
        <v>33.18</v>
      </c>
      <c r="O1012" s="1" t="s">
        <v>22</v>
      </c>
      <c r="P1012" s="1">
        <v>0.36</v>
      </c>
      <c r="Q1012" s="1" t="s">
        <v>16</v>
      </c>
      <c r="R1012" s="1" t="str">
        <f>IF(N1012="","",VLOOKUP(N1012,Prior_levels,2,TRUE))</f>
        <v>H</v>
      </c>
    </row>
    <row r="1013" spans="1:18" x14ac:dyDescent="0.2">
      <c r="A1013" s="1" t="s">
        <v>123</v>
      </c>
      <c r="B1013" s="1" t="s">
        <v>12</v>
      </c>
      <c r="C1013" s="2">
        <v>41155</v>
      </c>
      <c r="D1013" s="1">
        <v>10</v>
      </c>
      <c r="E1013" s="1" t="s">
        <v>39</v>
      </c>
      <c r="I1013" s="1" t="s">
        <v>12</v>
      </c>
      <c r="J1013" s="1" t="s">
        <v>40</v>
      </c>
      <c r="K1013" s="1" t="s">
        <v>14</v>
      </c>
      <c r="L1013" s="1" t="s">
        <v>12</v>
      </c>
      <c r="M1013" s="1" t="s">
        <v>12</v>
      </c>
      <c r="N1013" s="1">
        <v>33.18</v>
      </c>
      <c r="O1013" s="1" t="s">
        <v>23</v>
      </c>
      <c r="P1013" s="1">
        <v>0.34</v>
      </c>
      <c r="Q1013" s="1" t="s">
        <v>16</v>
      </c>
      <c r="R1013" s="1" t="str">
        <f>IF(N1013="","",VLOOKUP(N1013,Prior_levels,2,TRUE))</f>
        <v>H</v>
      </c>
    </row>
    <row r="1014" spans="1:18" x14ac:dyDescent="0.2">
      <c r="A1014" s="1" t="s">
        <v>123</v>
      </c>
      <c r="B1014" s="1" t="s">
        <v>12</v>
      </c>
      <c r="C1014" s="2">
        <v>41155</v>
      </c>
      <c r="D1014" s="1">
        <v>10</v>
      </c>
      <c r="E1014" s="1" t="s">
        <v>39</v>
      </c>
      <c r="I1014" s="1" t="s">
        <v>12</v>
      </c>
      <c r="J1014" s="1" t="s">
        <v>40</v>
      </c>
      <c r="K1014" s="1" t="s">
        <v>14</v>
      </c>
      <c r="L1014" s="1" t="s">
        <v>12</v>
      </c>
      <c r="M1014" s="1" t="s">
        <v>12</v>
      </c>
      <c r="N1014" s="1">
        <v>33.18</v>
      </c>
      <c r="O1014" s="1" t="s">
        <v>24</v>
      </c>
      <c r="P1014" s="1">
        <v>1.73</v>
      </c>
      <c r="Q1014" s="1" t="s">
        <v>16</v>
      </c>
      <c r="R1014" s="1" t="str">
        <f>IF(N1014="","",VLOOKUP(N1014,Prior_levels,2,TRUE))</f>
        <v>H</v>
      </c>
    </row>
    <row r="1015" spans="1:18" x14ac:dyDescent="0.2">
      <c r="A1015" s="1" t="s">
        <v>123</v>
      </c>
      <c r="B1015" s="1" t="s">
        <v>12</v>
      </c>
      <c r="C1015" s="2">
        <v>41155</v>
      </c>
      <c r="D1015" s="1">
        <v>10</v>
      </c>
      <c r="E1015" s="1" t="s">
        <v>39</v>
      </c>
      <c r="I1015" s="1" t="s">
        <v>12</v>
      </c>
      <c r="J1015" s="1" t="s">
        <v>40</v>
      </c>
      <c r="K1015" s="1" t="s">
        <v>14</v>
      </c>
      <c r="L1015" s="1" t="s">
        <v>12</v>
      </c>
      <c r="M1015" s="1" t="s">
        <v>12</v>
      </c>
      <c r="N1015" s="1">
        <v>33.18</v>
      </c>
      <c r="O1015" s="1" t="s">
        <v>25</v>
      </c>
      <c r="P1015" s="1">
        <v>1.38</v>
      </c>
      <c r="Q1015" s="1" t="s">
        <v>16</v>
      </c>
      <c r="R1015" s="1" t="str">
        <f>IF(N1015="","",VLOOKUP(N1015,Prior_levels,2,TRUE))</f>
        <v>H</v>
      </c>
    </row>
    <row r="1016" spans="1:18" x14ac:dyDescent="0.2">
      <c r="A1016" s="1" t="s">
        <v>123</v>
      </c>
      <c r="B1016" s="1" t="s">
        <v>12</v>
      </c>
      <c r="C1016" s="2">
        <v>41155</v>
      </c>
      <c r="D1016" s="1">
        <v>10</v>
      </c>
      <c r="E1016" s="1" t="s">
        <v>39</v>
      </c>
      <c r="I1016" s="1" t="s">
        <v>12</v>
      </c>
      <c r="J1016" s="1" t="s">
        <v>40</v>
      </c>
      <c r="K1016" s="1" t="s">
        <v>14</v>
      </c>
      <c r="L1016" s="1" t="s">
        <v>12</v>
      </c>
      <c r="M1016" s="1" t="s">
        <v>12</v>
      </c>
      <c r="N1016" s="1">
        <v>33.18</v>
      </c>
      <c r="O1016" s="1" t="s">
        <v>26</v>
      </c>
      <c r="P1016" s="1">
        <v>11</v>
      </c>
      <c r="Q1016" s="1" t="s">
        <v>16</v>
      </c>
      <c r="R1016" s="1" t="str">
        <f>IF(N1016="","",VLOOKUP(N1016,Prior_levels,2,TRUE))</f>
        <v>H</v>
      </c>
    </row>
    <row r="1017" spans="1:18" x14ac:dyDescent="0.2">
      <c r="A1017" s="1" t="s">
        <v>123</v>
      </c>
      <c r="B1017" s="1" t="s">
        <v>12</v>
      </c>
      <c r="C1017" s="2">
        <v>41155</v>
      </c>
      <c r="D1017" s="1">
        <v>10</v>
      </c>
      <c r="E1017" s="1" t="s">
        <v>39</v>
      </c>
      <c r="I1017" s="1" t="s">
        <v>12</v>
      </c>
      <c r="J1017" s="1" t="s">
        <v>40</v>
      </c>
      <c r="K1017" s="1" t="s">
        <v>14</v>
      </c>
      <c r="L1017" s="1" t="s">
        <v>12</v>
      </c>
      <c r="M1017" s="1" t="s">
        <v>12</v>
      </c>
      <c r="N1017" s="1">
        <v>33.18</v>
      </c>
      <c r="O1017" s="1" t="s">
        <v>32</v>
      </c>
      <c r="P1017" s="1" t="s">
        <v>37</v>
      </c>
      <c r="Q1017" s="1" t="s">
        <v>16</v>
      </c>
      <c r="R1017" s="1" t="str">
        <f>IF(N1017="","",VLOOKUP(N1017,Prior_levels,2,TRUE))</f>
        <v>H</v>
      </c>
    </row>
    <row r="1018" spans="1:18" x14ac:dyDescent="0.2">
      <c r="A1018" s="1" t="s">
        <v>123</v>
      </c>
      <c r="B1018" s="1" t="s">
        <v>12</v>
      </c>
      <c r="C1018" s="2">
        <v>41155</v>
      </c>
      <c r="D1018" s="1">
        <v>10</v>
      </c>
      <c r="E1018" s="1" t="s">
        <v>39</v>
      </c>
      <c r="I1018" s="1" t="s">
        <v>12</v>
      </c>
      <c r="J1018" s="1" t="s">
        <v>40</v>
      </c>
      <c r="K1018" s="1" t="s">
        <v>14</v>
      </c>
      <c r="L1018" s="1" t="s">
        <v>12</v>
      </c>
      <c r="M1018" s="1" t="s">
        <v>12</v>
      </c>
      <c r="N1018" s="1">
        <v>33.18</v>
      </c>
      <c r="O1018" s="1" t="s">
        <v>27</v>
      </c>
      <c r="P1018" s="1" t="s">
        <v>37</v>
      </c>
      <c r="Q1018" s="1" t="s">
        <v>16</v>
      </c>
      <c r="R1018" s="1" t="str">
        <f>IF(N1018="","",VLOOKUP(N1018,Prior_levels,2,TRUE))</f>
        <v>H</v>
      </c>
    </row>
    <row r="1019" spans="1:18" x14ac:dyDescent="0.2">
      <c r="A1019" s="1" t="s">
        <v>123</v>
      </c>
      <c r="B1019" s="1" t="s">
        <v>12</v>
      </c>
      <c r="C1019" s="2">
        <v>41155</v>
      </c>
      <c r="D1019" s="1">
        <v>10</v>
      </c>
      <c r="E1019" s="1" t="s">
        <v>39</v>
      </c>
      <c r="I1019" s="1" t="s">
        <v>12</v>
      </c>
      <c r="J1019" s="1" t="s">
        <v>40</v>
      </c>
      <c r="K1019" s="1" t="s">
        <v>14</v>
      </c>
      <c r="L1019" s="1" t="s">
        <v>12</v>
      </c>
      <c r="M1019" s="1" t="s">
        <v>12</v>
      </c>
      <c r="N1019" s="1">
        <v>33.18</v>
      </c>
      <c r="O1019" s="1" t="s">
        <v>29</v>
      </c>
      <c r="P1019" s="1" t="s">
        <v>37</v>
      </c>
      <c r="Q1019" s="1" t="s">
        <v>16</v>
      </c>
      <c r="R1019" s="1" t="str">
        <f>IF(N1019="","",VLOOKUP(N1019,Prior_levels,2,TRUE))</f>
        <v>H</v>
      </c>
    </row>
    <row r="1020" spans="1:18" x14ac:dyDescent="0.2">
      <c r="A1020" s="1" t="s">
        <v>123</v>
      </c>
      <c r="B1020" s="1" t="s">
        <v>12</v>
      </c>
      <c r="C1020" s="2">
        <v>41155</v>
      </c>
      <c r="D1020" s="1">
        <v>10</v>
      </c>
      <c r="E1020" s="1" t="s">
        <v>39</v>
      </c>
      <c r="I1020" s="1" t="s">
        <v>12</v>
      </c>
      <c r="J1020" s="1" t="s">
        <v>40</v>
      </c>
      <c r="K1020" s="1" t="s">
        <v>14</v>
      </c>
      <c r="L1020" s="1" t="s">
        <v>12</v>
      </c>
      <c r="M1020" s="1" t="s">
        <v>12</v>
      </c>
      <c r="N1020" s="1">
        <v>33.18</v>
      </c>
      <c r="O1020" s="1" t="s">
        <v>30</v>
      </c>
      <c r="P1020" s="1" t="s">
        <v>37</v>
      </c>
      <c r="Q1020" s="1" t="s">
        <v>16</v>
      </c>
      <c r="R1020" s="1" t="str">
        <f>IF(N1020="","",VLOOKUP(N1020,Prior_levels,2,TRUE))</f>
        <v>H</v>
      </c>
    </row>
    <row r="1021" spans="1:18" x14ac:dyDescent="0.2">
      <c r="A1021" s="1" t="s">
        <v>123</v>
      </c>
      <c r="B1021" s="1" t="s">
        <v>12</v>
      </c>
      <c r="C1021" s="2">
        <v>41155</v>
      </c>
      <c r="D1021" s="1">
        <v>10</v>
      </c>
      <c r="E1021" s="1" t="s">
        <v>39</v>
      </c>
      <c r="I1021" s="1" t="s">
        <v>12</v>
      </c>
      <c r="J1021" s="1" t="s">
        <v>40</v>
      </c>
      <c r="K1021" s="1" t="s">
        <v>14</v>
      </c>
      <c r="L1021" s="1" t="s">
        <v>12</v>
      </c>
      <c r="M1021" s="1" t="s">
        <v>12</v>
      </c>
      <c r="N1021" s="1">
        <v>33.18</v>
      </c>
      <c r="O1021" s="1" t="s">
        <v>31</v>
      </c>
      <c r="P1021" s="1" t="s">
        <v>37</v>
      </c>
      <c r="Q1021" s="1" t="s">
        <v>16</v>
      </c>
      <c r="R1021" s="1" t="str">
        <f>IF(N1021="","",VLOOKUP(N1021,Prior_levels,2,TRUE))</f>
        <v>H</v>
      </c>
    </row>
    <row r="1022" spans="1:18" x14ac:dyDescent="0.2">
      <c r="A1022" s="1" t="s">
        <v>124</v>
      </c>
      <c r="B1022" s="1" t="s">
        <v>12</v>
      </c>
      <c r="C1022" s="2">
        <v>41155</v>
      </c>
      <c r="D1022" s="1">
        <v>10</v>
      </c>
      <c r="E1022" s="1" t="s">
        <v>11</v>
      </c>
      <c r="I1022" s="1" t="s">
        <v>12</v>
      </c>
      <c r="J1022" s="1" t="s">
        <v>40</v>
      </c>
      <c r="K1022" s="1" t="s">
        <v>14</v>
      </c>
      <c r="L1022" s="1" t="s">
        <v>12</v>
      </c>
      <c r="M1022" s="1" t="s">
        <v>12</v>
      </c>
      <c r="N1022" s="1">
        <v>21.12</v>
      </c>
      <c r="O1022" s="1" t="s">
        <v>15</v>
      </c>
      <c r="P1022" s="1">
        <v>3.1</v>
      </c>
      <c r="Q1022" s="1" t="s">
        <v>16</v>
      </c>
      <c r="R1022" s="1" t="str">
        <f>IF(N1022="","",VLOOKUP(N1022,Prior_levels,2,TRUE))</f>
        <v>L</v>
      </c>
    </row>
    <row r="1023" spans="1:18" x14ac:dyDescent="0.2">
      <c r="A1023" s="1" t="s">
        <v>124</v>
      </c>
      <c r="B1023" s="1" t="s">
        <v>12</v>
      </c>
      <c r="C1023" s="2">
        <v>41155</v>
      </c>
      <c r="D1023" s="1">
        <v>10</v>
      </c>
      <c r="E1023" s="1" t="s">
        <v>11</v>
      </c>
      <c r="I1023" s="1" t="s">
        <v>12</v>
      </c>
      <c r="J1023" s="1" t="s">
        <v>40</v>
      </c>
      <c r="K1023" s="1" t="s">
        <v>14</v>
      </c>
      <c r="L1023" s="1" t="s">
        <v>12</v>
      </c>
      <c r="M1023" s="1" t="s">
        <v>12</v>
      </c>
      <c r="N1023" s="1">
        <v>21.12</v>
      </c>
      <c r="O1023" s="1" t="s">
        <v>17</v>
      </c>
      <c r="P1023" s="1">
        <v>0.27</v>
      </c>
      <c r="Q1023" s="1" t="s">
        <v>16</v>
      </c>
      <c r="R1023" s="1" t="str">
        <f>IF(N1023="","",VLOOKUP(N1023,Prior_levels,2,TRUE))</f>
        <v>L</v>
      </c>
    </row>
    <row r="1024" spans="1:18" x14ac:dyDescent="0.2">
      <c r="A1024" s="1" t="s">
        <v>124</v>
      </c>
      <c r="B1024" s="1" t="s">
        <v>12</v>
      </c>
      <c r="C1024" s="2">
        <v>41155</v>
      </c>
      <c r="D1024" s="1">
        <v>10</v>
      </c>
      <c r="E1024" s="1" t="s">
        <v>11</v>
      </c>
      <c r="I1024" s="1" t="s">
        <v>12</v>
      </c>
      <c r="J1024" s="1" t="s">
        <v>40</v>
      </c>
      <c r="K1024" s="1" t="s">
        <v>14</v>
      </c>
      <c r="L1024" s="1" t="s">
        <v>12</v>
      </c>
      <c r="M1024" s="1" t="s">
        <v>12</v>
      </c>
      <c r="N1024" s="1">
        <v>21.12</v>
      </c>
      <c r="O1024" s="1" t="s">
        <v>18</v>
      </c>
      <c r="P1024" s="1">
        <v>8</v>
      </c>
      <c r="Q1024" s="1" t="s">
        <v>16</v>
      </c>
      <c r="R1024" s="1" t="str">
        <f>IF(N1024="","",VLOOKUP(N1024,Prior_levels,2,TRUE))</f>
        <v>L</v>
      </c>
    </row>
    <row r="1025" spans="1:18" x14ac:dyDescent="0.2">
      <c r="A1025" s="1" t="s">
        <v>124</v>
      </c>
      <c r="B1025" s="1" t="s">
        <v>12</v>
      </c>
      <c r="C1025" s="2">
        <v>41155</v>
      </c>
      <c r="D1025" s="1">
        <v>10</v>
      </c>
      <c r="E1025" s="1" t="s">
        <v>11</v>
      </c>
      <c r="I1025" s="1" t="s">
        <v>12</v>
      </c>
      <c r="J1025" s="1" t="s">
        <v>40</v>
      </c>
      <c r="K1025" s="1" t="s">
        <v>14</v>
      </c>
      <c r="L1025" s="1" t="s">
        <v>12</v>
      </c>
      <c r="M1025" s="1" t="s">
        <v>12</v>
      </c>
      <c r="N1025" s="1">
        <v>21.12</v>
      </c>
      <c r="O1025" s="1" t="s">
        <v>19</v>
      </c>
      <c r="P1025" s="1">
        <v>6</v>
      </c>
      <c r="Q1025" s="1" t="s">
        <v>16</v>
      </c>
      <c r="R1025" s="1" t="str">
        <f>IF(N1025="","",VLOOKUP(N1025,Prior_levels,2,TRUE))</f>
        <v>L</v>
      </c>
    </row>
    <row r="1026" spans="1:18" x14ac:dyDescent="0.2">
      <c r="A1026" s="1" t="s">
        <v>124</v>
      </c>
      <c r="B1026" s="1" t="s">
        <v>12</v>
      </c>
      <c r="C1026" s="2">
        <v>41155</v>
      </c>
      <c r="D1026" s="1">
        <v>10</v>
      </c>
      <c r="E1026" s="1" t="s">
        <v>11</v>
      </c>
      <c r="I1026" s="1" t="s">
        <v>12</v>
      </c>
      <c r="J1026" s="1" t="s">
        <v>40</v>
      </c>
      <c r="K1026" s="1" t="s">
        <v>14</v>
      </c>
      <c r="L1026" s="1" t="s">
        <v>12</v>
      </c>
      <c r="M1026" s="1" t="s">
        <v>12</v>
      </c>
      <c r="N1026" s="1">
        <v>21.12</v>
      </c>
      <c r="O1026" s="1" t="s">
        <v>20</v>
      </c>
      <c r="P1026" s="1">
        <v>8</v>
      </c>
      <c r="Q1026" s="1" t="s">
        <v>16</v>
      </c>
      <c r="R1026" s="1" t="str">
        <f>IF(N1026="","",VLOOKUP(N1026,Prior_levels,2,TRUE))</f>
        <v>L</v>
      </c>
    </row>
    <row r="1027" spans="1:18" x14ac:dyDescent="0.2">
      <c r="A1027" s="1" t="s">
        <v>124</v>
      </c>
      <c r="B1027" s="1" t="s">
        <v>12</v>
      </c>
      <c r="C1027" s="2">
        <v>41155</v>
      </c>
      <c r="D1027" s="1">
        <v>10</v>
      </c>
      <c r="E1027" s="1" t="s">
        <v>11</v>
      </c>
      <c r="I1027" s="1" t="s">
        <v>12</v>
      </c>
      <c r="J1027" s="1" t="s">
        <v>40</v>
      </c>
      <c r="K1027" s="1" t="s">
        <v>14</v>
      </c>
      <c r="L1027" s="1" t="s">
        <v>12</v>
      </c>
      <c r="M1027" s="1" t="s">
        <v>12</v>
      </c>
      <c r="N1027" s="1">
        <v>21.12</v>
      </c>
      <c r="O1027" s="1" t="s">
        <v>21</v>
      </c>
      <c r="P1027" s="1">
        <v>9</v>
      </c>
      <c r="Q1027" s="1" t="s">
        <v>16</v>
      </c>
      <c r="R1027" s="1" t="str">
        <f>IF(N1027="","",VLOOKUP(N1027,Prior_levels,2,TRUE))</f>
        <v>L</v>
      </c>
    </row>
    <row r="1028" spans="1:18" x14ac:dyDescent="0.2">
      <c r="A1028" s="1" t="s">
        <v>124</v>
      </c>
      <c r="B1028" s="1" t="s">
        <v>12</v>
      </c>
      <c r="C1028" s="2">
        <v>41155</v>
      </c>
      <c r="D1028" s="1">
        <v>10</v>
      </c>
      <c r="E1028" s="1" t="s">
        <v>11</v>
      </c>
      <c r="I1028" s="1" t="s">
        <v>12</v>
      </c>
      <c r="J1028" s="1" t="s">
        <v>40</v>
      </c>
      <c r="K1028" s="1" t="s">
        <v>14</v>
      </c>
      <c r="L1028" s="1" t="s">
        <v>12</v>
      </c>
      <c r="M1028" s="1" t="s">
        <v>12</v>
      </c>
      <c r="N1028" s="1">
        <v>21.12</v>
      </c>
      <c r="O1028" s="1" t="s">
        <v>22</v>
      </c>
      <c r="P1028" s="1">
        <v>0.34</v>
      </c>
      <c r="Q1028" s="1" t="s">
        <v>16</v>
      </c>
      <c r="R1028" s="1" t="str">
        <f>IF(N1028="","",VLOOKUP(N1028,Prior_levels,2,TRUE))</f>
        <v>L</v>
      </c>
    </row>
    <row r="1029" spans="1:18" x14ac:dyDescent="0.2">
      <c r="A1029" s="1" t="s">
        <v>124</v>
      </c>
      <c r="B1029" s="1" t="s">
        <v>12</v>
      </c>
      <c r="C1029" s="2">
        <v>41155</v>
      </c>
      <c r="D1029" s="1">
        <v>10</v>
      </c>
      <c r="E1029" s="1" t="s">
        <v>11</v>
      </c>
      <c r="I1029" s="1" t="s">
        <v>12</v>
      </c>
      <c r="J1029" s="1" t="s">
        <v>40</v>
      </c>
      <c r="K1029" s="1" t="s">
        <v>14</v>
      </c>
      <c r="L1029" s="1" t="s">
        <v>12</v>
      </c>
      <c r="M1029" s="1" t="s">
        <v>12</v>
      </c>
      <c r="N1029" s="1">
        <v>21.12</v>
      </c>
      <c r="O1029" s="1" t="s">
        <v>23</v>
      </c>
      <c r="P1029" s="1">
        <v>0.39</v>
      </c>
      <c r="Q1029" s="1" t="s">
        <v>16</v>
      </c>
      <c r="R1029" s="1" t="str">
        <f>IF(N1029="","",VLOOKUP(N1029,Prior_levels,2,TRUE))</f>
        <v>L</v>
      </c>
    </row>
    <row r="1030" spans="1:18" x14ac:dyDescent="0.2">
      <c r="A1030" s="1" t="s">
        <v>124</v>
      </c>
      <c r="B1030" s="1" t="s">
        <v>12</v>
      </c>
      <c r="C1030" s="2">
        <v>41155</v>
      </c>
      <c r="D1030" s="1">
        <v>10</v>
      </c>
      <c r="E1030" s="1" t="s">
        <v>11</v>
      </c>
      <c r="I1030" s="1" t="s">
        <v>12</v>
      </c>
      <c r="J1030" s="1" t="s">
        <v>40</v>
      </c>
      <c r="K1030" s="1" t="s">
        <v>14</v>
      </c>
      <c r="L1030" s="1" t="s">
        <v>12</v>
      </c>
      <c r="M1030" s="1" t="s">
        <v>12</v>
      </c>
      <c r="N1030" s="1">
        <v>21.12</v>
      </c>
      <c r="O1030" s="1" t="s">
        <v>24</v>
      </c>
      <c r="P1030" s="1">
        <v>3.49</v>
      </c>
      <c r="Q1030" s="1" t="s">
        <v>16</v>
      </c>
      <c r="R1030" s="1" t="str">
        <f>IF(N1030="","",VLOOKUP(N1030,Prior_levels,2,TRUE))</f>
        <v>L</v>
      </c>
    </row>
    <row r="1031" spans="1:18" x14ac:dyDescent="0.2">
      <c r="A1031" s="1" t="s">
        <v>124</v>
      </c>
      <c r="B1031" s="1" t="s">
        <v>12</v>
      </c>
      <c r="C1031" s="2">
        <v>41155</v>
      </c>
      <c r="D1031" s="1">
        <v>10</v>
      </c>
      <c r="E1031" s="1" t="s">
        <v>11</v>
      </c>
      <c r="I1031" s="1" t="s">
        <v>12</v>
      </c>
      <c r="J1031" s="1" t="s">
        <v>40</v>
      </c>
      <c r="K1031" s="1" t="s">
        <v>14</v>
      </c>
      <c r="L1031" s="1" t="s">
        <v>12</v>
      </c>
      <c r="M1031" s="1" t="s">
        <v>12</v>
      </c>
      <c r="N1031" s="1">
        <v>21.12</v>
      </c>
      <c r="O1031" s="1" t="s">
        <v>25</v>
      </c>
      <c r="P1031" s="1">
        <v>-2.2000000000000002</v>
      </c>
      <c r="Q1031" s="1" t="s">
        <v>16</v>
      </c>
      <c r="R1031" s="1" t="str">
        <f>IF(N1031="","",VLOOKUP(N1031,Prior_levels,2,TRUE))</f>
        <v>L</v>
      </c>
    </row>
    <row r="1032" spans="1:18" x14ac:dyDescent="0.2">
      <c r="A1032" s="1" t="s">
        <v>124</v>
      </c>
      <c r="B1032" s="1" t="s">
        <v>12</v>
      </c>
      <c r="C1032" s="2">
        <v>41155</v>
      </c>
      <c r="D1032" s="1">
        <v>10</v>
      </c>
      <c r="E1032" s="1" t="s">
        <v>11</v>
      </c>
      <c r="I1032" s="1" t="s">
        <v>12</v>
      </c>
      <c r="J1032" s="1" t="s">
        <v>40</v>
      </c>
      <c r="K1032" s="1" t="s">
        <v>14</v>
      </c>
      <c r="L1032" s="1" t="s">
        <v>12</v>
      </c>
      <c r="M1032" s="1" t="s">
        <v>12</v>
      </c>
      <c r="N1032" s="1">
        <v>21.12</v>
      </c>
      <c r="O1032" s="1" t="s">
        <v>26</v>
      </c>
      <c r="P1032" s="1">
        <v>0</v>
      </c>
      <c r="Q1032" s="1" t="s">
        <v>16</v>
      </c>
      <c r="R1032" s="1" t="str">
        <f>IF(N1032="","",VLOOKUP(N1032,Prior_levels,2,TRUE))</f>
        <v>L</v>
      </c>
    </row>
    <row r="1033" spans="1:18" x14ac:dyDescent="0.2">
      <c r="A1033" s="1" t="s">
        <v>124</v>
      </c>
      <c r="B1033" s="1" t="s">
        <v>12</v>
      </c>
      <c r="C1033" s="2">
        <v>41155</v>
      </c>
      <c r="D1033" s="1">
        <v>10</v>
      </c>
      <c r="E1033" s="1" t="s">
        <v>11</v>
      </c>
      <c r="I1033" s="1" t="s">
        <v>12</v>
      </c>
      <c r="J1033" s="1" t="s">
        <v>40</v>
      </c>
      <c r="K1033" s="1" t="s">
        <v>14</v>
      </c>
      <c r="L1033" s="1" t="s">
        <v>12</v>
      </c>
      <c r="M1033" s="1" t="s">
        <v>12</v>
      </c>
      <c r="N1033" s="1">
        <v>21.12</v>
      </c>
      <c r="O1033" s="1" t="s">
        <v>32</v>
      </c>
      <c r="P1033" s="1" t="s">
        <v>28</v>
      </c>
      <c r="Q1033" s="1" t="s">
        <v>16</v>
      </c>
      <c r="R1033" s="1" t="str">
        <f>IF(N1033="","",VLOOKUP(N1033,Prior_levels,2,TRUE))</f>
        <v>L</v>
      </c>
    </row>
    <row r="1034" spans="1:18" x14ac:dyDescent="0.2">
      <c r="A1034" s="1" t="s">
        <v>124</v>
      </c>
      <c r="B1034" s="1" t="s">
        <v>12</v>
      </c>
      <c r="C1034" s="2">
        <v>41155</v>
      </c>
      <c r="D1034" s="1">
        <v>10</v>
      </c>
      <c r="E1034" s="1" t="s">
        <v>11</v>
      </c>
      <c r="I1034" s="1" t="s">
        <v>12</v>
      </c>
      <c r="J1034" s="1" t="s">
        <v>40</v>
      </c>
      <c r="K1034" s="1" t="s">
        <v>14</v>
      </c>
      <c r="L1034" s="1" t="s">
        <v>12</v>
      </c>
      <c r="M1034" s="1" t="s">
        <v>12</v>
      </c>
      <c r="N1034" s="1">
        <v>21.12</v>
      </c>
      <c r="O1034" s="1" t="s">
        <v>27</v>
      </c>
      <c r="P1034" s="1" t="s">
        <v>28</v>
      </c>
      <c r="Q1034" s="1" t="s">
        <v>16</v>
      </c>
      <c r="R1034" s="1" t="str">
        <f>IF(N1034="","",VLOOKUP(N1034,Prior_levels,2,TRUE))</f>
        <v>L</v>
      </c>
    </row>
    <row r="1035" spans="1:18" x14ac:dyDescent="0.2">
      <c r="A1035" s="1" t="s">
        <v>124</v>
      </c>
      <c r="B1035" s="1" t="s">
        <v>12</v>
      </c>
      <c r="C1035" s="2">
        <v>41155</v>
      </c>
      <c r="D1035" s="1">
        <v>10</v>
      </c>
      <c r="E1035" s="1" t="s">
        <v>11</v>
      </c>
      <c r="I1035" s="1" t="s">
        <v>12</v>
      </c>
      <c r="J1035" s="1" t="s">
        <v>40</v>
      </c>
      <c r="K1035" s="1" t="s">
        <v>14</v>
      </c>
      <c r="L1035" s="1" t="s">
        <v>12</v>
      </c>
      <c r="M1035" s="1" t="s">
        <v>12</v>
      </c>
      <c r="N1035" s="1">
        <v>21.12</v>
      </c>
      <c r="O1035" s="1" t="s">
        <v>29</v>
      </c>
      <c r="P1035" s="1" t="s">
        <v>28</v>
      </c>
      <c r="Q1035" s="1" t="s">
        <v>16</v>
      </c>
      <c r="R1035" s="1" t="str">
        <f>IF(N1035="","",VLOOKUP(N1035,Prior_levels,2,TRUE))</f>
        <v>L</v>
      </c>
    </row>
    <row r="1036" spans="1:18" x14ac:dyDescent="0.2">
      <c r="A1036" s="1" t="s">
        <v>124</v>
      </c>
      <c r="B1036" s="1" t="s">
        <v>12</v>
      </c>
      <c r="C1036" s="2">
        <v>41155</v>
      </c>
      <c r="D1036" s="1">
        <v>10</v>
      </c>
      <c r="E1036" s="1" t="s">
        <v>11</v>
      </c>
      <c r="I1036" s="1" t="s">
        <v>12</v>
      </c>
      <c r="J1036" s="1" t="s">
        <v>40</v>
      </c>
      <c r="K1036" s="1" t="s">
        <v>14</v>
      </c>
      <c r="L1036" s="1" t="s">
        <v>12</v>
      </c>
      <c r="M1036" s="1" t="s">
        <v>12</v>
      </c>
      <c r="N1036" s="1">
        <v>21.12</v>
      </c>
      <c r="O1036" s="1" t="s">
        <v>30</v>
      </c>
      <c r="P1036" s="1" t="s">
        <v>28</v>
      </c>
      <c r="Q1036" s="1" t="s">
        <v>16</v>
      </c>
      <c r="R1036" s="1" t="str">
        <f>IF(N1036="","",VLOOKUP(N1036,Prior_levels,2,TRUE))</f>
        <v>L</v>
      </c>
    </row>
    <row r="1037" spans="1:18" x14ac:dyDescent="0.2">
      <c r="A1037" s="1" t="s">
        <v>124</v>
      </c>
      <c r="B1037" s="1" t="s">
        <v>12</v>
      </c>
      <c r="C1037" s="2">
        <v>41155</v>
      </c>
      <c r="D1037" s="1">
        <v>10</v>
      </c>
      <c r="E1037" s="1" t="s">
        <v>11</v>
      </c>
      <c r="I1037" s="1" t="s">
        <v>12</v>
      </c>
      <c r="J1037" s="1" t="s">
        <v>40</v>
      </c>
      <c r="K1037" s="1" t="s">
        <v>14</v>
      </c>
      <c r="L1037" s="1" t="s">
        <v>12</v>
      </c>
      <c r="M1037" s="1" t="s">
        <v>12</v>
      </c>
      <c r="N1037" s="1">
        <v>21.12</v>
      </c>
      <c r="O1037" s="1" t="s">
        <v>31</v>
      </c>
      <c r="P1037" s="1" t="s">
        <v>28</v>
      </c>
      <c r="Q1037" s="1" t="s">
        <v>16</v>
      </c>
      <c r="R1037" s="1" t="str">
        <f>IF(N1037="","",VLOOKUP(N1037,Prior_levels,2,TRUE))</f>
        <v>L</v>
      </c>
    </row>
    <row r="1038" spans="1:18" x14ac:dyDescent="0.2">
      <c r="A1038" s="1" t="s">
        <v>125</v>
      </c>
      <c r="B1038" s="1" t="s">
        <v>12</v>
      </c>
      <c r="C1038" s="2">
        <v>41155</v>
      </c>
      <c r="D1038" s="1">
        <v>10</v>
      </c>
      <c r="E1038" s="1" t="s">
        <v>52</v>
      </c>
      <c r="I1038" s="1" t="s">
        <v>12</v>
      </c>
      <c r="J1038" s="1" t="s">
        <v>40</v>
      </c>
      <c r="K1038" s="1" t="s">
        <v>14</v>
      </c>
      <c r="L1038" s="1" t="s">
        <v>12</v>
      </c>
      <c r="M1038" s="1" t="s">
        <v>12</v>
      </c>
      <c r="N1038" s="1">
        <v>15.06</v>
      </c>
      <c r="O1038" s="1" t="s">
        <v>15</v>
      </c>
      <c r="P1038" s="1">
        <v>2.2000000000000002</v>
      </c>
      <c r="Q1038" s="1" t="s">
        <v>16</v>
      </c>
      <c r="R1038" s="1" t="str">
        <f>IF(N1038="","",VLOOKUP(N1038,Prior_levels,2,TRUE))</f>
        <v>L</v>
      </c>
    </row>
    <row r="1039" spans="1:18" x14ac:dyDescent="0.2">
      <c r="A1039" s="1" t="s">
        <v>125</v>
      </c>
      <c r="B1039" s="1" t="s">
        <v>12</v>
      </c>
      <c r="C1039" s="2">
        <v>41155</v>
      </c>
      <c r="D1039" s="1">
        <v>10</v>
      </c>
      <c r="E1039" s="1" t="s">
        <v>52</v>
      </c>
      <c r="I1039" s="1" t="s">
        <v>12</v>
      </c>
      <c r="J1039" s="1" t="s">
        <v>40</v>
      </c>
      <c r="K1039" s="1" t="s">
        <v>14</v>
      </c>
      <c r="L1039" s="1" t="s">
        <v>12</v>
      </c>
      <c r="M1039" s="1" t="s">
        <v>12</v>
      </c>
      <c r="N1039" s="1">
        <v>15.06</v>
      </c>
      <c r="O1039" s="1" t="s">
        <v>17</v>
      </c>
      <c r="P1039" s="1">
        <v>0.28999999999999998</v>
      </c>
      <c r="Q1039" s="1" t="s">
        <v>16</v>
      </c>
      <c r="R1039" s="1" t="str">
        <f>IF(N1039="","",VLOOKUP(N1039,Prior_levels,2,TRUE))</f>
        <v>L</v>
      </c>
    </row>
    <row r="1040" spans="1:18" x14ac:dyDescent="0.2">
      <c r="A1040" s="1" t="s">
        <v>125</v>
      </c>
      <c r="B1040" s="1" t="s">
        <v>12</v>
      </c>
      <c r="C1040" s="2">
        <v>41155</v>
      </c>
      <c r="D1040" s="1">
        <v>10</v>
      </c>
      <c r="E1040" s="1" t="s">
        <v>52</v>
      </c>
      <c r="I1040" s="1" t="s">
        <v>12</v>
      </c>
      <c r="J1040" s="1" t="s">
        <v>40</v>
      </c>
      <c r="K1040" s="1" t="s">
        <v>14</v>
      </c>
      <c r="L1040" s="1" t="s">
        <v>12</v>
      </c>
      <c r="M1040" s="1" t="s">
        <v>12</v>
      </c>
      <c r="N1040" s="1">
        <v>15.06</v>
      </c>
      <c r="O1040" s="1" t="s">
        <v>18</v>
      </c>
      <c r="P1040" s="1">
        <v>6</v>
      </c>
      <c r="Q1040" s="1" t="s">
        <v>16</v>
      </c>
      <c r="R1040" s="1" t="str">
        <f>IF(N1040="","",VLOOKUP(N1040,Prior_levels,2,TRUE))</f>
        <v>L</v>
      </c>
    </row>
    <row r="1041" spans="1:18" x14ac:dyDescent="0.2">
      <c r="A1041" s="1" t="s">
        <v>125</v>
      </c>
      <c r="B1041" s="1" t="s">
        <v>12</v>
      </c>
      <c r="C1041" s="2">
        <v>41155</v>
      </c>
      <c r="D1041" s="1">
        <v>10</v>
      </c>
      <c r="E1041" s="1" t="s">
        <v>52</v>
      </c>
      <c r="I1041" s="1" t="s">
        <v>12</v>
      </c>
      <c r="J1041" s="1" t="s">
        <v>40</v>
      </c>
      <c r="K1041" s="1" t="s">
        <v>14</v>
      </c>
      <c r="L1041" s="1" t="s">
        <v>12</v>
      </c>
      <c r="M1041" s="1" t="s">
        <v>12</v>
      </c>
      <c r="N1041" s="1">
        <v>15.06</v>
      </c>
      <c r="O1041" s="1" t="s">
        <v>19</v>
      </c>
      <c r="P1041" s="1">
        <v>4</v>
      </c>
      <c r="Q1041" s="1" t="s">
        <v>16</v>
      </c>
      <c r="R1041" s="1" t="str">
        <f>IF(N1041="","",VLOOKUP(N1041,Prior_levels,2,TRUE))</f>
        <v>L</v>
      </c>
    </row>
    <row r="1042" spans="1:18" x14ac:dyDescent="0.2">
      <c r="A1042" s="1" t="s">
        <v>125</v>
      </c>
      <c r="B1042" s="1" t="s">
        <v>12</v>
      </c>
      <c r="C1042" s="2">
        <v>41155</v>
      </c>
      <c r="D1042" s="1">
        <v>10</v>
      </c>
      <c r="E1042" s="1" t="s">
        <v>52</v>
      </c>
      <c r="I1042" s="1" t="s">
        <v>12</v>
      </c>
      <c r="J1042" s="1" t="s">
        <v>40</v>
      </c>
      <c r="K1042" s="1" t="s">
        <v>14</v>
      </c>
      <c r="L1042" s="1" t="s">
        <v>12</v>
      </c>
      <c r="M1042" s="1" t="s">
        <v>12</v>
      </c>
      <c r="N1042" s="1">
        <v>15.06</v>
      </c>
      <c r="O1042" s="1" t="s">
        <v>20</v>
      </c>
      <c r="P1042" s="1">
        <v>5.5</v>
      </c>
      <c r="Q1042" s="1" t="s">
        <v>16</v>
      </c>
      <c r="R1042" s="1" t="str">
        <f>IF(N1042="","",VLOOKUP(N1042,Prior_levels,2,TRUE))</f>
        <v>L</v>
      </c>
    </row>
    <row r="1043" spans="1:18" x14ac:dyDescent="0.2">
      <c r="A1043" s="1" t="s">
        <v>125</v>
      </c>
      <c r="B1043" s="1" t="s">
        <v>12</v>
      </c>
      <c r="C1043" s="2">
        <v>41155</v>
      </c>
      <c r="D1043" s="1">
        <v>10</v>
      </c>
      <c r="E1043" s="1" t="s">
        <v>52</v>
      </c>
      <c r="I1043" s="1" t="s">
        <v>12</v>
      </c>
      <c r="J1043" s="1" t="s">
        <v>40</v>
      </c>
      <c r="K1043" s="1" t="s">
        <v>14</v>
      </c>
      <c r="L1043" s="1" t="s">
        <v>12</v>
      </c>
      <c r="M1043" s="1" t="s">
        <v>12</v>
      </c>
      <c r="N1043" s="1">
        <v>15.06</v>
      </c>
      <c r="O1043" s="1" t="s">
        <v>21</v>
      </c>
      <c r="P1043" s="1">
        <v>6.5</v>
      </c>
      <c r="Q1043" s="1" t="s">
        <v>16</v>
      </c>
      <c r="R1043" s="1" t="str">
        <f>IF(N1043="","",VLOOKUP(N1043,Prior_levels,2,TRUE))</f>
        <v>L</v>
      </c>
    </row>
    <row r="1044" spans="1:18" x14ac:dyDescent="0.2">
      <c r="A1044" s="1" t="s">
        <v>125</v>
      </c>
      <c r="B1044" s="1" t="s">
        <v>12</v>
      </c>
      <c r="C1044" s="2">
        <v>41155</v>
      </c>
      <c r="D1044" s="1">
        <v>10</v>
      </c>
      <c r="E1044" s="1" t="s">
        <v>52</v>
      </c>
      <c r="I1044" s="1" t="s">
        <v>12</v>
      </c>
      <c r="J1044" s="1" t="s">
        <v>40</v>
      </c>
      <c r="K1044" s="1" t="s">
        <v>14</v>
      </c>
      <c r="L1044" s="1" t="s">
        <v>12</v>
      </c>
      <c r="M1044" s="1" t="s">
        <v>12</v>
      </c>
      <c r="N1044" s="1">
        <v>15.06</v>
      </c>
      <c r="O1044" s="1" t="s">
        <v>22</v>
      </c>
      <c r="P1044" s="1">
        <v>0.34</v>
      </c>
      <c r="Q1044" s="1" t="s">
        <v>16</v>
      </c>
      <c r="R1044" s="1" t="str">
        <f>IF(N1044="","",VLOOKUP(N1044,Prior_levels,2,TRUE))</f>
        <v>L</v>
      </c>
    </row>
    <row r="1045" spans="1:18" x14ac:dyDescent="0.2">
      <c r="A1045" s="1" t="s">
        <v>125</v>
      </c>
      <c r="B1045" s="1" t="s">
        <v>12</v>
      </c>
      <c r="C1045" s="2">
        <v>41155</v>
      </c>
      <c r="D1045" s="1">
        <v>10</v>
      </c>
      <c r="E1045" s="1" t="s">
        <v>52</v>
      </c>
      <c r="I1045" s="1" t="s">
        <v>12</v>
      </c>
      <c r="J1045" s="1" t="s">
        <v>40</v>
      </c>
      <c r="K1045" s="1" t="s">
        <v>14</v>
      </c>
      <c r="L1045" s="1" t="s">
        <v>12</v>
      </c>
      <c r="M1045" s="1" t="s">
        <v>12</v>
      </c>
      <c r="N1045" s="1">
        <v>15.06</v>
      </c>
      <c r="O1045" s="1" t="s">
        <v>23</v>
      </c>
      <c r="P1045" s="1">
        <v>0.68</v>
      </c>
      <c r="Q1045" s="1" t="s">
        <v>16</v>
      </c>
      <c r="R1045" s="1" t="str">
        <f>IF(N1045="","",VLOOKUP(N1045,Prior_levels,2,TRUE))</f>
        <v>L</v>
      </c>
    </row>
    <row r="1046" spans="1:18" x14ac:dyDescent="0.2">
      <c r="A1046" s="1" t="s">
        <v>125</v>
      </c>
      <c r="B1046" s="1" t="s">
        <v>12</v>
      </c>
      <c r="C1046" s="2">
        <v>41155</v>
      </c>
      <c r="D1046" s="1">
        <v>10</v>
      </c>
      <c r="E1046" s="1" t="s">
        <v>52</v>
      </c>
      <c r="I1046" s="1" t="s">
        <v>12</v>
      </c>
      <c r="J1046" s="1" t="s">
        <v>40</v>
      </c>
      <c r="K1046" s="1" t="s">
        <v>14</v>
      </c>
      <c r="L1046" s="1" t="s">
        <v>12</v>
      </c>
      <c r="M1046" s="1" t="s">
        <v>12</v>
      </c>
      <c r="N1046" s="1">
        <v>15.06</v>
      </c>
      <c r="O1046" s="1" t="s">
        <v>24</v>
      </c>
      <c r="P1046" s="1">
        <v>2.94</v>
      </c>
      <c r="Q1046" s="1" t="s">
        <v>16</v>
      </c>
      <c r="R1046" s="1" t="str">
        <f>IF(N1046="","",VLOOKUP(N1046,Prior_levels,2,TRUE))</f>
        <v>L</v>
      </c>
    </row>
    <row r="1047" spans="1:18" x14ac:dyDescent="0.2">
      <c r="A1047" s="1" t="s">
        <v>125</v>
      </c>
      <c r="B1047" s="1" t="s">
        <v>12</v>
      </c>
      <c r="C1047" s="2">
        <v>41155</v>
      </c>
      <c r="D1047" s="1">
        <v>10</v>
      </c>
      <c r="E1047" s="1" t="s">
        <v>52</v>
      </c>
      <c r="I1047" s="1" t="s">
        <v>12</v>
      </c>
      <c r="J1047" s="1" t="s">
        <v>40</v>
      </c>
      <c r="K1047" s="1" t="s">
        <v>14</v>
      </c>
      <c r="L1047" s="1" t="s">
        <v>12</v>
      </c>
      <c r="M1047" s="1" t="s">
        <v>12</v>
      </c>
      <c r="N1047" s="1">
        <v>15.06</v>
      </c>
      <c r="O1047" s="1" t="s">
        <v>25</v>
      </c>
      <c r="P1047" s="1">
        <v>-2.13</v>
      </c>
      <c r="Q1047" s="1" t="s">
        <v>16</v>
      </c>
      <c r="R1047" s="1" t="str">
        <f>IF(N1047="","",VLOOKUP(N1047,Prior_levels,2,TRUE))</f>
        <v>L</v>
      </c>
    </row>
    <row r="1048" spans="1:18" x14ac:dyDescent="0.2">
      <c r="A1048" s="1" t="s">
        <v>125</v>
      </c>
      <c r="B1048" s="1" t="s">
        <v>12</v>
      </c>
      <c r="C1048" s="2">
        <v>41155</v>
      </c>
      <c r="D1048" s="1">
        <v>10</v>
      </c>
      <c r="E1048" s="1" t="s">
        <v>52</v>
      </c>
      <c r="I1048" s="1" t="s">
        <v>12</v>
      </c>
      <c r="J1048" s="1" t="s">
        <v>40</v>
      </c>
      <c r="K1048" s="1" t="s">
        <v>14</v>
      </c>
      <c r="L1048" s="1" t="s">
        <v>12</v>
      </c>
      <c r="M1048" s="1" t="s">
        <v>12</v>
      </c>
      <c r="N1048" s="1">
        <v>15.06</v>
      </c>
      <c r="O1048" s="1" t="s">
        <v>26</v>
      </c>
      <c r="P1048" s="1">
        <v>0</v>
      </c>
      <c r="Q1048" s="1" t="s">
        <v>16</v>
      </c>
      <c r="R1048" s="1" t="str">
        <f>IF(N1048="","",VLOOKUP(N1048,Prior_levels,2,TRUE))</f>
        <v>L</v>
      </c>
    </row>
    <row r="1049" spans="1:18" x14ac:dyDescent="0.2">
      <c r="A1049" s="1" t="s">
        <v>125</v>
      </c>
      <c r="B1049" s="1" t="s">
        <v>12</v>
      </c>
      <c r="C1049" s="2">
        <v>41155</v>
      </c>
      <c r="D1049" s="1">
        <v>10</v>
      </c>
      <c r="E1049" s="1" t="s">
        <v>52</v>
      </c>
      <c r="I1049" s="1" t="s">
        <v>12</v>
      </c>
      <c r="J1049" s="1" t="s">
        <v>40</v>
      </c>
      <c r="K1049" s="1" t="s">
        <v>14</v>
      </c>
      <c r="L1049" s="1" t="s">
        <v>12</v>
      </c>
      <c r="M1049" s="1" t="s">
        <v>12</v>
      </c>
      <c r="N1049" s="1">
        <v>15.06</v>
      </c>
      <c r="O1049" s="1" t="s">
        <v>27</v>
      </c>
      <c r="P1049" s="1" t="s">
        <v>28</v>
      </c>
      <c r="Q1049" s="1" t="s">
        <v>16</v>
      </c>
      <c r="R1049" s="1" t="str">
        <f>IF(N1049="","",VLOOKUP(N1049,Prior_levels,2,TRUE))</f>
        <v>L</v>
      </c>
    </row>
    <row r="1050" spans="1:18" x14ac:dyDescent="0.2">
      <c r="A1050" s="1" t="s">
        <v>125</v>
      </c>
      <c r="B1050" s="1" t="s">
        <v>12</v>
      </c>
      <c r="C1050" s="2">
        <v>41155</v>
      </c>
      <c r="D1050" s="1">
        <v>10</v>
      </c>
      <c r="E1050" s="1" t="s">
        <v>52</v>
      </c>
      <c r="I1050" s="1" t="s">
        <v>12</v>
      </c>
      <c r="J1050" s="1" t="s">
        <v>40</v>
      </c>
      <c r="K1050" s="1" t="s">
        <v>14</v>
      </c>
      <c r="L1050" s="1" t="s">
        <v>12</v>
      </c>
      <c r="M1050" s="1" t="s">
        <v>12</v>
      </c>
      <c r="N1050" s="1">
        <v>15.06</v>
      </c>
      <c r="O1050" s="1" t="s">
        <v>29</v>
      </c>
      <c r="P1050" s="1" t="s">
        <v>28</v>
      </c>
      <c r="Q1050" s="1" t="s">
        <v>16</v>
      </c>
      <c r="R1050" s="1" t="str">
        <f>IF(N1050="","",VLOOKUP(N1050,Prior_levels,2,TRUE))</f>
        <v>L</v>
      </c>
    </row>
    <row r="1051" spans="1:18" x14ac:dyDescent="0.2">
      <c r="A1051" s="1" t="s">
        <v>125</v>
      </c>
      <c r="B1051" s="1" t="s">
        <v>12</v>
      </c>
      <c r="C1051" s="2">
        <v>41155</v>
      </c>
      <c r="D1051" s="1">
        <v>10</v>
      </c>
      <c r="E1051" s="1" t="s">
        <v>52</v>
      </c>
      <c r="I1051" s="1" t="s">
        <v>12</v>
      </c>
      <c r="J1051" s="1" t="s">
        <v>40</v>
      </c>
      <c r="K1051" s="1" t="s">
        <v>14</v>
      </c>
      <c r="L1051" s="1" t="s">
        <v>12</v>
      </c>
      <c r="M1051" s="1" t="s">
        <v>12</v>
      </c>
      <c r="N1051" s="1">
        <v>15.06</v>
      </c>
      <c r="O1051" s="1" t="s">
        <v>30</v>
      </c>
      <c r="P1051" s="1" t="s">
        <v>28</v>
      </c>
      <c r="Q1051" s="1" t="s">
        <v>16</v>
      </c>
      <c r="R1051" s="1" t="str">
        <f>IF(N1051="","",VLOOKUP(N1051,Prior_levels,2,TRUE))</f>
        <v>L</v>
      </c>
    </row>
    <row r="1052" spans="1:18" x14ac:dyDescent="0.2">
      <c r="A1052" s="1" t="s">
        <v>125</v>
      </c>
      <c r="B1052" s="1" t="s">
        <v>12</v>
      </c>
      <c r="C1052" s="2">
        <v>41155</v>
      </c>
      <c r="D1052" s="1">
        <v>10</v>
      </c>
      <c r="E1052" s="1" t="s">
        <v>52</v>
      </c>
      <c r="I1052" s="1" t="s">
        <v>12</v>
      </c>
      <c r="J1052" s="1" t="s">
        <v>40</v>
      </c>
      <c r="K1052" s="1" t="s">
        <v>14</v>
      </c>
      <c r="L1052" s="1" t="s">
        <v>12</v>
      </c>
      <c r="M1052" s="1" t="s">
        <v>12</v>
      </c>
      <c r="N1052" s="1">
        <v>15.06</v>
      </c>
      <c r="O1052" s="1" t="s">
        <v>31</v>
      </c>
      <c r="P1052" s="1" t="s">
        <v>28</v>
      </c>
      <c r="Q1052" s="1" t="s">
        <v>16</v>
      </c>
      <c r="R1052" s="1" t="str">
        <f>IF(N1052="","",VLOOKUP(N1052,Prior_levels,2,TRUE))</f>
        <v>L</v>
      </c>
    </row>
    <row r="1053" spans="1:18" x14ac:dyDescent="0.2">
      <c r="A1053" s="1" t="s">
        <v>125</v>
      </c>
      <c r="B1053" s="1" t="s">
        <v>12</v>
      </c>
      <c r="C1053" s="2">
        <v>41155</v>
      </c>
      <c r="D1053" s="1">
        <v>10</v>
      </c>
      <c r="E1053" s="1" t="s">
        <v>52</v>
      </c>
      <c r="I1053" s="1" t="s">
        <v>12</v>
      </c>
      <c r="J1053" s="1" t="s">
        <v>40</v>
      </c>
      <c r="K1053" s="1" t="s">
        <v>14</v>
      </c>
      <c r="L1053" s="1" t="s">
        <v>12</v>
      </c>
      <c r="M1053" s="1" t="s">
        <v>12</v>
      </c>
      <c r="N1053" s="1">
        <v>15.06</v>
      </c>
      <c r="O1053" s="1" t="s">
        <v>32</v>
      </c>
      <c r="P1053" s="1" t="s">
        <v>28</v>
      </c>
      <c r="Q1053" s="1" t="s">
        <v>16</v>
      </c>
      <c r="R1053" s="1" t="str">
        <f>IF(N1053="","",VLOOKUP(N1053,Prior_levels,2,TRUE))</f>
        <v>L</v>
      </c>
    </row>
    <row r="1054" spans="1:18" x14ac:dyDescent="0.2">
      <c r="A1054" s="1" t="s">
        <v>126</v>
      </c>
      <c r="B1054" s="1" t="s">
        <v>12</v>
      </c>
      <c r="C1054" s="2">
        <v>41155</v>
      </c>
      <c r="D1054" s="1">
        <v>10</v>
      </c>
      <c r="E1054" s="1" t="s">
        <v>42</v>
      </c>
      <c r="I1054" s="1" t="s">
        <v>12</v>
      </c>
      <c r="J1054" s="1" t="s">
        <v>127</v>
      </c>
      <c r="K1054" s="1" t="s">
        <v>14</v>
      </c>
      <c r="L1054" s="1" t="s">
        <v>12</v>
      </c>
      <c r="M1054" s="1" t="s">
        <v>12</v>
      </c>
      <c r="N1054" s="1">
        <v>15.06</v>
      </c>
      <c r="O1054" s="1" t="s">
        <v>15</v>
      </c>
      <c r="P1054" s="1">
        <v>2.15</v>
      </c>
      <c r="Q1054" s="1" t="s">
        <v>16</v>
      </c>
      <c r="R1054" s="1" t="str">
        <f>IF(N1054="","",VLOOKUP(N1054,Prior_levels,2,TRUE))</f>
        <v>L</v>
      </c>
    </row>
    <row r="1055" spans="1:18" x14ac:dyDescent="0.2">
      <c r="A1055" s="1" t="s">
        <v>126</v>
      </c>
      <c r="B1055" s="1" t="s">
        <v>12</v>
      </c>
      <c r="C1055" s="2">
        <v>41155</v>
      </c>
      <c r="D1055" s="1">
        <v>10</v>
      </c>
      <c r="E1055" s="1" t="s">
        <v>42</v>
      </c>
      <c r="I1055" s="1" t="s">
        <v>12</v>
      </c>
      <c r="J1055" s="1" t="s">
        <v>127</v>
      </c>
      <c r="K1055" s="1" t="s">
        <v>14</v>
      </c>
      <c r="L1055" s="1" t="s">
        <v>12</v>
      </c>
      <c r="M1055" s="1" t="s">
        <v>12</v>
      </c>
      <c r="N1055" s="1">
        <v>15.06</v>
      </c>
      <c r="O1055" s="1" t="s">
        <v>17</v>
      </c>
      <c r="P1055" s="1">
        <v>0.24</v>
      </c>
      <c r="Q1055" s="1" t="s">
        <v>16</v>
      </c>
      <c r="R1055" s="1" t="str">
        <f>IF(N1055="","",VLOOKUP(N1055,Prior_levels,2,TRUE))</f>
        <v>L</v>
      </c>
    </row>
    <row r="1056" spans="1:18" x14ac:dyDescent="0.2">
      <c r="A1056" s="1" t="s">
        <v>126</v>
      </c>
      <c r="B1056" s="1" t="s">
        <v>12</v>
      </c>
      <c r="C1056" s="2">
        <v>41155</v>
      </c>
      <c r="D1056" s="1">
        <v>10</v>
      </c>
      <c r="E1056" s="1" t="s">
        <v>42</v>
      </c>
      <c r="I1056" s="1" t="s">
        <v>12</v>
      </c>
      <c r="J1056" s="1" t="s">
        <v>127</v>
      </c>
      <c r="K1056" s="1" t="s">
        <v>14</v>
      </c>
      <c r="L1056" s="1" t="s">
        <v>12</v>
      </c>
      <c r="M1056" s="1" t="s">
        <v>12</v>
      </c>
      <c r="N1056" s="1">
        <v>15.06</v>
      </c>
      <c r="O1056" s="1" t="s">
        <v>18</v>
      </c>
      <c r="P1056" s="1">
        <v>6</v>
      </c>
      <c r="Q1056" s="1" t="s">
        <v>16</v>
      </c>
      <c r="R1056" s="1" t="str">
        <f>IF(N1056="","",VLOOKUP(N1056,Prior_levels,2,TRUE))</f>
        <v>L</v>
      </c>
    </row>
    <row r="1057" spans="1:18" x14ac:dyDescent="0.2">
      <c r="A1057" s="1" t="s">
        <v>126</v>
      </c>
      <c r="B1057" s="1" t="s">
        <v>12</v>
      </c>
      <c r="C1057" s="2">
        <v>41155</v>
      </c>
      <c r="D1057" s="1">
        <v>10</v>
      </c>
      <c r="E1057" s="1" t="s">
        <v>42</v>
      </c>
      <c r="I1057" s="1" t="s">
        <v>12</v>
      </c>
      <c r="J1057" s="1" t="s">
        <v>127</v>
      </c>
      <c r="K1057" s="1" t="s">
        <v>14</v>
      </c>
      <c r="L1057" s="1" t="s">
        <v>12</v>
      </c>
      <c r="M1057" s="1" t="s">
        <v>12</v>
      </c>
      <c r="N1057" s="1">
        <v>15.06</v>
      </c>
      <c r="O1057" s="1" t="s">
        <v>19</v>
      </c>
      <c r="P1057" s="1">
        <v>4</v>
      </c>
      <c r="Q1057" s="1" t="s">
        <v>16</v>
      </c>
      <c r="R1057" s="1" t="str">
        <f>IF(N1057="","",VLOOKUP(N1057,Prior_levels,2,TRUE))</f>
        <v>L</v>
      </c>
    </row>
    <row r="1058" spans="1:18" x14ac:dyDescent="0.2">
      <c r="A1058" s="1" t="s">
        <v>126</v>
      </c>
      <c r="B1058" s="1" t="s">
        <v>12</v>
      </c>
      <c r="C1058" s="2">
        <v>41155</v>
      </c>
      <c r="D1058" s="1">
        <v>10</v>
      </c>
      <c r="E1058" s="1" t="s">
        <v>42</v>
      </c>
      <c r="I1058" s="1" t="s">
        <v>12</v>
      </c>
      <c r="J1058" s="1" t="s">
        <v>127</v>
      </c>
      <c r="K1058" s="1" t="s">
        <v>14</v>
      </c>
      <c r="L1058" s="1" t="s">
        <v>12</v>
      </c>
      <c r="M1058" s="1" t="s">
        <v>12</v>
      </c>
      <c r="N1058" s="1">
        <v>15.06</v>
      </c>
      <c r="O1058" s="1" t="s">
        <v>20</v>
      </c>
      <c r="P1058" s="1">
        <v>5.5</v>
      </c>
      <c r="Q1058" s="1" t="s">
        <v>16</v>
      </c>
      <c r="R1058" s="1" t="str">
        <f>IF(N1058="","",VLOOKUP(N1058,Prior_levels,2,TRUE))</f>
        <v>L</v>
      </c>
    </row>
    <row r="1059" spans="1:18" x14ac:dyDescent="0.2">
      <c r="A1059" s="1" t="s">
        <v>126</v>
      </c>
      <c r="B1059" s="1" t="s">
        <v>12</v>
      </c>
      <c r="C1059" s="2">
        <v>41155</v>
      </c>
      <c r="D1059" s="1">
        <v>10</v>
      </c>
      <c r="E1059" s="1" t="s">
        <v>42</v>
      </c>
      <c r="I1059" s="1" t="s">
        <v>12</v>
      </c>
      <c r="J1059" s="1" t="s">
        <v>127</v>
      </c>
      <c r="K1059" s="1" t="s">
        <v>14</v>
      </c>
      <c r="L1059" s="1" t="s">
        <v>12</v>
      </c>
      <c r="M1059" s="1" t="s">
        <v>12</v>
      </c>
      <c r="N1059" s="1">
        <v>15.06</v>
      </c>
      <c r="O1059" s="1" t="s">
        <v>21</v>
      </c>
      <c r="P1059" s="1">
        <v>6</v>
      </c>
      <c r="Q1059" s="1" t="s">
        <v>16</v>
      </c>
      <c r="R1059" s="1" t="str">
        <f>IF(N1059="","",VLOOKUP(N1059,Prior_levels,2,TRUE))</f>
        <v>L</v>
      </c>
    </row>
    <row r="1060" spans="1:18" x14ac:dyDescent="0.2">
      <c r="A1060" s="1" t="s">
        <v>126</v>
      </c>
      <c r="B1060" s="1" t="s">
        <v>12</v>
      </c>
      <c r="C1060" s="2">
        <v>41155</v>
      </c>
      <c r="D1060" s="1">
        <v>10</v>
      </c>
      <c r="E1060" s="1" t="s">
        <v>42</v>
      </c>
      <c r="I1060" s="1" t="s">
        <v>12</v>
      </c>
      <c r="J1060" s="1" t="s">
        <v>127</v>
      </c>
      <c r="K1060" s="1" t="s">
        <v>14</v>
      </c>
      <c r="L1060" s="1" t="s">
        <v>12</v>
      </c>
      <c r="M1060" s="1" t="s">
        <v>12</v>
      </c>
      <c r="N1060" s="1">
        <v>15.06</v>
      </c>
      <c r="O1060" s="1" t="s">
        <v>22</v>
      </c>
      <c r="P1060" s="1">
        <v>0.34</v>
      </c>
      <c r="Q1060" s="1" t="s">
        <v>16</v>
      </c>
      <c r="R1060" s="1" t="str">
        <f>IF(N1060="","",VLOOKUP(N1060,Prior_levels,2,TRUE))</f>
        <v>L</v>
      </c>
    </row>
    <row r="1061" spans="1:18" x14ac:dyDescent="0.2">
      <c r="A1061" s="1" t="s">
        <v>126</v>
      </c>
      <c r="B1061" s="1" t="s">
        <v>12</v>
      </c>
      <c r="C1061" s="2">
        <v>41155</v>
      </c>
      <c r="D1061" s="1">
        <v>10</v>
      </c>
      <c r="E1061" s="1" t="s">
        <v>42</v>
      </c>
      <c r="I1061" s="1" t="s">
        <v>12</v>
      </c>
      <c r="J1061" s="1" t="s">
        <v>127</v>
      </c>
      <c r="K1061" s="1" t="s">
        <v>14</v>
      </c>
      <c r="L1061" s="1" t="s">
        <v>12</v>
      </c>
      <c r="M1061" s="1" t="s">
        <v>12</v>
      </c>
      <c r="N1061" s="1">
        <v>15.06</v>
      </c>
      <c r="O1061" s="1" t="s">
        <v>23</v>
      </c>
      <c r="P1061" s="1">
        <v>0.68</v>
      </c>
      <c r="Q1061" s="1" t="s">
        <v>16</v>
      </c>
      <c r="R1061" s="1" t="str">
        <f>IF(N1061="","",VLOOKUP(N1061,Prior_levels,2,TRUE))</f>
        <v>L</v>
      </c>
    </row>
    <row r="1062" spans="1:18" x14ac:dyDescent="0.2">
      <c r="A1062" s="1" t="s">
        <v>126</v>
      </c>
      <c r="B1062" s="1" t="s">
        <v>12</v>
      </c>
      <c r="C1062" s="2">
        <v>41155</v>
      </c>
      <c r="D1062" s="1">
        <v>10</v>
      </c>
      <c r="E1062" s="1" t="s">
        <v>42</v>
      </c>
      <c r="I1062" s="1" t="s">
        <v>12</v>
      </c>
      <c r="J1062" s="1" t="s">
        <v>127</v>
      </c>
      <c r="K1062" s="1" t="s">
        <v>14</v>
      </c>
      <c r="L1062" s="1" t="s">
        <v>12</v>
      </c>
      <c r="M1062" s="1" t="s">
        <v>12</v>
      </c>
      <c r="N1062" s="1">
        <v>15.06</v>
      </c>
      <c r="O1062" s="1" t="s">
        <v>25</v>
      </c>
      <c r="P1062" s="1">
        <v>-2.63</v>
      </c>
      <c r="Q1062" s="1" t="s">
        <v>16</v>
      </c>
      <c r="R1062" s="1" t="str">
        <f>IF(N1062="","",VLOOKUP(N1062,Prior_levels,2,TRUE))</f>
        <v>L</v>
      </c>
    </row>
    <row r="1063" spans="1:18" x14ac:dyDescent="0.2">
      <c r="A1063" s="1" t="s">
        <v>126</v>
      </c>
      <c r="B1063" s="1" t="s">
        <v>12</v>
      </c>
      <c r="C1063" s="2">
        <v>41155</v>
      </c>
      <c r="D1063" s="1">
        <v>10</v>
      </c>
      <c r="E1063" s="1" t="s">
        <v>42</v>
      </c>
      <c r="I1063" s="1" t="s">
        <v>12</v>
      </c>
      <c r="J1063" s="1" t="s">
        <v>127</v>
      </c>
      <c r="K1063" s="1" t="s">
        <v>14</v>
      </c>
      <c r="L1063" s="1" t="s">
        <v>12</v>
      </c>
      <c r="M1063" s="1" t="s">
        <v>12</v>
      </c>
      <c r="N1063" s="1">
        <v>15.06</v>
      </c>
      <c r="O1063" s="1" t="s">
        <v>26</v>
      </c>
      <c r="P1063" s="1">
        <v>0</v>
      </c>
      <c r="Q1063" s="1" t="s">
        <v>16</v>
      </c>
      <c r="R1063" s="1" t="str">
        <f>IF(N1063="","",VLOOKUP(N1063,Prior_levels,2,TRUE))</f>
        <v>L</v>
      </c>
    </row>
    <row r="1064" spans="1:18" x14ac:dyDescent="0.2">
      <c r="A1064" s="1" t="s">
        <v>126</v>
      </c>
      <c r="B1064" s="1" t="s">
        <v>12</v>
      </c>
      <c r="C1064" s="2">
        <v>41155</v>
      </c>
      <c r="D1064" s="1">
        <v>10</v>
      </c>
      <c r="E1064" s="1" t="s">
        <v>42</v>
      </c>
      <c r="I1064" s="1" t="s">
        <v>12</v>
      </c>
      <c r="J1064" s="1" t="s">
        <v>127</v>
      </c>
      <c r="K1064" s="1" t="s">
        <v>14</v>
      </c>
      <c r="L1064" s="1" t="s">
        <v>12</v>
      </c>
      <c r="M1064" s="1" t="s">
        <v>12</v>
      </c>
      <c r="N1064" s="1">
        <v>15.06</v>
      </c>
      <c r="O1064" s="1" t="s">
        <v>24</v>
      </c>
      <c r="P1064" s="1">
        <v>2.94</v>
      </c>
      <c r="Q1064" s="1" t="s">
        <v>16</v>
      </c>
      <c r="R1064" s="1" t="str">
        <f>IF(N1064="","",VLOOKUP(N1064,Prior_levels,2,TRUE))</f>
        <v>L</v>
      </c>
    </row>
    <row r="1065" spans="1:18" x14ac:dyDescent="0.2">
      <c r="A1065" s="1" t="s">
        <v>126</v>
      </c>
      <c r="B1065" s="1" t="s">
        <v>12</v>
      </c>
      <c r="C1065" s="2">
        <v>41155</v>
      </c>
      <c r="D1065" s="1">
        <v>10</v>
      </c>
      <c r="E1065" s="1" t="s">
        <v>42</v>
      </c>
      <c r="I1065" s="1" t="s">
        <v>12</v>
      </c>
      <c r="J1065" s="1" t="s">
        <v>127</v>
      </c>
      <c r="K1065" s="1" t="s">
        <v>14</v>
      </c>
      <c r="L1065" s="1" t="s">
        <v>12</v>
      </c>
      <c r="M1065" s="1" t="s">
        <v>12</v>
      </c>
      <c r="N1065" s="1">
        <v>15.06</v>
      </c>
      <c r="O1065" s="1" t="s">
        <v>32</v>
      </c>
      <c r="P1065" s="1" t="s">
        <v>28</v>
      </c>
      <c r="Q1065" s="1" t="s">
        <v>16</v>
      </c>
      <c r="R1065" s="1" t="str">
        <f>IF(N1065="","",VLOOKUP(N1065,Prior_levels,2,TRUE))</f>
        <v>L</v>
      </c>
    </row>
    <row r="1066" spans="1:18" x14ac:dyDescent="0.2">
      <c r="A1066" s="1" t="s">
        <v>126</v>
      </c>
      <c r="B1066" s="1" t="s">
        <v>12</v>
      </c>
      <c r="C1066" s="2">
        <v>41155</v>
      </c>
      <c r="D1066" s="1">
        <v>10</v>
      </c>
      <c r="E1066" s="1" t="s">
        <v>42</v>
      </c>
      <c r="I1066" s="1" t="s">
        <v>12</v>
      </c>
      <c r="J1066" s="1" t="s">
        <v>127</v>
      </c>
      <c r="K1066" s="1" t="s">
        <v>14</v>
      </c>
      <c r="L1066" s="1" t="s">
        <v>12</v>
      </c>
      <c r="M1066" s="1" t="s">
        <v>12</v>
      </c>
      <c r="N1066" s="1">
        <v>15.06</v>
      </c>
      <c r="O1066" s="1" t="s">
        <v>27</v>
      </c>
      <c r="P1066" s="1" t="s">
        <v>28</v>
      </c>
      <c r="Q1066" s="1" t="s">
        <v>16</v>
      </c>
      <c r="R1066" s="1" t="str">
        <f>IF(N1066="","",VLOOKUP(N1066,Prior_levels,2,TRUE))</f>
        <v>L</v>
      </c>
    </row>
    <row r="1067" spans="1:18" x14ac:dyDescent="0.2">
      <c r="A1067" s="1" t="s">
        <v>126</v>
      </c>
      <c r="B1067" s="1" t="s">
        <v>12</v>
      </c>
      <c r="C1067" s="2">
        <v>41155</v>
      </c>
      <c r="D1067" s="1">
        <v>10</v>
      </c>
      <c r="E1067" s="1" t="s">
        <v>42</v>
      </c>
      <c r="I1067" s="1" t="s">
        <v>12</v>
      </c>
      <c r="J1067" s="1" t="s">
        <v>127</v>
      </c>
      <c r="K1067" s="1" t="s">
        <v>14</v>
      </c>
      <c r="L1067" s="1" t="s">
        <v>12</v>
      </c>
      <c r="M1067" s="1" t="s">
        <v>12</v>
      </c>
      <c r="N1067" s="1">
        <v>15.06</v>
      </c>
      <c r="O1067" s="1" t="s">
        <v>29</v>
      </c>
      <c r="P1067" s="1" t="s">
        <v>28</v>
      </c>
      <c r="Q1067" s="1" t="s">
        <v>16</v>
      </c>
      <c r="R1067" s="1" t="str">
        <f>IF(N1067="","",VLOOKUP(N1067,Prior_levels,2,TRUE))</f>
        <v>L</v>
      </c>
    </row>
    <row r="1068" spans="1:18" x14ac:dyDescent="0.2">
      <c r="A1068" s="1" t="s">
        <v>126</v>
      </c>
      <c r="B1068" s="1" t="s">
        <v>12</v>
      </c>
      <c r="C1068" s="2">
        <v>41155</v>
      </c>
      <c r="D1068" s="1">
        <v>10</v>
      </c>
      <c r="E1068" s="1" t="s">
        <v>42</v>
      </c>
      <c r="I1068" s="1" t="s">
        <v>12</v>
      </c>
      <c r="J1068" s="1" t="s">
        <v>127</v>
      </c>
      <c r="K1068" s="1" t="s">
        <v>14</v>
      </c>
      <c r="L1068" s="1" t="s">
        <v>12</v>
      </c>
      <c r="M1068" s="1" t="s">
        <v>12</v>
      </c>
      <c r="N1068" s="1">
        <v>15.06</v>
      </c>
      <c r="O1068" s="1" t="s">
        <v>30</v>
      </c>
      <c r="P1068" s="1" t="s">
        <v>28</v>
      </c>
      <c r="Q1068" s="1" t="s">
        <v>16</v>
      </c>
      <c r="R1068" s="1" t="str">
        <f>IF(N1068="","",VLOOKUP(N1068,Prior_levels,2,TRUE))</f>
        <v>L</v>
      </c>
    </row>
    <row r="1069" spans="1:18" x14ac:dyDescent="0.2">
      <c r="A1069" s="1" t="s">
        <v>126</v>
      </c>
      <c r="B1069" s="1" t="s">
        <v>12</v>
      </c>
      <c r="C1069" s="2">
        <v>41155</v>
      </c>
      <c r="D1069" s="1">
        <v>10</v>
      </c>
      <c r="E1069" s="1" t="s">
        <v>42</v>
      </c>
      <c r="I1069" s="1" t="s">
        <v>12</v>
      </c>
      <c r="J1069" s="1" t="s">
        <v>127</v>
      </c>
      <c r="K1069" s="1" t="s">
        <v>14</v>
      </c>
      <c r="L1069" s="1" t="s">
        <v>12</v>
      </c>
      <c r="M1069" s="1" t="s">
        <v>12</v>
      </c>
      <c r="N1069" s="1">
        <v>15.06</v>
      </c>
      <c r="O1069" s="1" t="s">
        <v>31</v>
      </c>
      <c r="P1069" s="1" t="s">
        <v>28</v>
      </c>
      <c r="Q1069" s="1" t="s">
        <v>16</v>
      </c>
      <c r="R1069" s="1" t="str">
        <f>IF(N1069="","",VLOOKUP(N1069,Prior_levels,2,TRUE))</f>
        <v>L</v>
      </c>
    </row>
    <row r="1070" spans="1:18" x14ac:dyDescent="0.2">
      <c r="A1070" s="1" t="s">
        <v>128</v>
      </c>
      <c r="B1070" s="1" t="s">
        <v>12</v>
      </c>
      <c r="C1070" s="2">
        <v>41155</v>
      </c>
      <c r="D1070" s="1">
        <v>10</v>
      </c>
      <c r="E1070" s="1" t="s">
        <v>52</v>
      </c>
      <c r="I1070" s="1" t="s">
        <v>12</v>
      </c>
      <c r="J1070" s="1" t="s">
        <v>40</v>
      </c>
      <c r="K1070" s="1" t="s">
        <v>14</v>
      </c>
      <c r="L1070" s="1" t="s">
        <v>12</v>
      </c>
      <c r="M1070" s="1" t="s">
        <v>12</v>
      </c>
      <c r="N1070" s="1">
        <v>33.18</v>
      </c>
      <c r="O1070" s="1" t="s">
        <v>15</v>
      </c>
      <c r="P1070" s="1">
        <v>6</v>
      </c>
      <c r="Q1070" s="1" t="s">
        <v>16</v>
      </c>
      <c r="R1070" s="1" t="str">
        <f>IF(N1070="","",VLOOKUP(N1070,Prior_levels,2,TRUE))</f>
        <v>H</v>
      </c>
    </row>
    <row r="1071" spans="1:18" x14ac:dyDescent="0.2">
      <c r="A1071" s="1" t="s">
        <v>128</v>
      </c>
      <c r="B1071" s="1" t="s">
        <v>12</v>
      </c>
      <c r="C1071" s="2">
        <v>41155</v>
      </c>
      <c r="D1071" s="1">
        <v>10</v>
      </c>
      <c r="E1071" s="1" t="s">
        <v>52</v>
      </c>
      <c r="I1071" s="1" t="s">
        <v>12</v>
      </c>
      <c r="J1071" s="1" t="s">
        <v>40</v>
      </c>
      <c r="K1071" s="1" t="s">
        <v>14</v>
      </c>
      <c r="L1071" s="1" t="s">
        <v>12</v>
      </c>
      <c r="M1071" s="1" t="s">
        <v>12</v>
      </c>
      <c r="N1071" s="1">
        <v>33.18</v>
      </c>
      <c r="O1071" s="1" t="s">
        <v>17</v>
      </c>
      <c r="P1071" s="1">
        <v>-0.55000000000000004</v>
      </c>
      <c r="Q1071" s="1" t="s">
        <v>16</v>
      </c>
      <c r="R1071" s="1" t="str">
        <f>IF(N1071="","",VLOOKUP(N1071,Prior_levels,2,TRUE))</f>
        <v>H</v>
      </c>
    </row>
    <row r="1072" spans="1:18" x14ac:dyDescent="0.2">
      <c r="A1072" s="1" t="s">
        <v>128</v>
      </c>
      <c r="B1072" s="1" t="s">
        <v>12</v>
      </c>
      <c r="C1072" s="2">
        <v>41155</v>
      </c>
      <c r="D1072" s="1">
        <v>10</v>
      </c>
      <c r="E1072" s="1" t="s">
        <v>52</v>
      </c>
      <c r="I1072" s="1" t="s">
        <v>12</v>
      </c>
      <c r="J1072" s="1" t="s">
        <v>40</v>
      </c>
      <c r="K1072" s="1" t="s">
        <v>14</v>
      </c>
      <c r="L1072" s="1" t="s">
        <v>12</v>
      </c>
      <c r="M1072" s="1" t="s">
        <v>12</v>
      </c>
      <c r="N1072" s="1">
        <v>33.18</v>
      </c>
      <c r="O1072" s="1" t="s">
        <v>18</v>
      </c>
      <c r="P1072" s="1">
        <v>14</v>
      </c>
      <c r="Q1072" s="1" t="s">
        <v>16</v>
      </c>
      <c r="R1072" s="1" t="str">
        <f>IF(N1072="","",VLOOKUP(N1072,Prior_levels,2,TRUE))</f>
        <v>H</v>
      </c>
    </row>
    <row r="1073" spans="1:18" x14ac:dyDescent="0.2">
      <c r="A1073" s="1" t="s">
        <v>128</v>
      </c>
      <c r="B1073" s="1" t="s">
        <v>12</v>
      </c>
      <c r="C1073" s="2">
        <v>41155</v>
      </c>
      <c r="D1073" s="1">
        <v>10</v>
      </c>
      <c r="E1073" s="1" t="s">
        <v>52</v>
      </c>
      <c r="I1073" s="1" t="s">
        <v>12</v>
      </c>
      <c r="J1073" s="1" t="s">
        <v>40</v>
      </c>
      <c r="K1073" s="1" t="s">
        <v>14</v>
      </c>
      <c r="L1073" s="1" t="s">
        <v>12</v>
      </c>
      <c r="M1073" s="1" t="s">
        <v>12</v>
      </c>
      <c r="N1073" s="1">
        <v>33.18</v>
      </c>
      <c r="O1073" s="1" t="s">
        <v>19</v>
      </c>
      <c r="P1073" s="1">
        <v>10</v>
      </c>
      <c r="Q1073" s="1" t="s">
        <v>16</v>
      </c>
      <c r="R1073" s="1" t="str">
        <f>IF(N1073="","",VLOOKUP(N1073,Prior_levels,2,TRUE))</f>
        <v>H</v>
      </c>
    </row>
    <row r="1074" spans="1:18" x14ac:dyDescent="0.2">
      <c r="A1074" s="1" t="s">
        <v>128</v>
      </c>
      <c r="B1074" s="1" t="s">
        <v>12</v>
      </c>
      <c r="C1074" s="2">
        <v>41155</v>
      </c>
      <c r="D1074" s="1">
        <v>10</v>
      </c>
      <c r="E1074" s="1" t="s">
        <v>52</v>
      </c>
      <c r="I1074" s="1" t="s">
        <v>12</v>
      </c>
      <c r="J1074" s="1" t="s">
        <v>40</v>
      </c>
      <c r="K1074" s="1" t="s">
        <v>14</v>
      </c>
      <c r="L1074" s="1" t="s">
        <v>12</v>
      </c>
      <c r="M1074" s="1" t="s">
        <v>12</v>
      </c>
      <c r="N1074" s="1">
        <v>33.18</v>
      </c>
      <c r="O1074" s="1" t="s">
        <v>20</v>
      </c>
      <c r="P1074" s="1">
        <v>18</v>
      </c>
      <c r="Q1074" s="1" t="s">
        <v>16</v>
      </c>
      <c r="R1074" s="1" t="str">
        <f>IF(N1074="","",VLOOKUP(N1074,Prior_levels,2,TRUE))</f>
        <v>H</v>
      </c>
    </row>
    <row r="1075" spans="1:18" x14ac:dyDescent="0.2">
      <c r="A1075" s="1" t="s">
        <v>128</v>
      </c>
      <c r="B1075" s="1" t="s">
        <v>12</v>
      </c>
      <c r="C1075" s="2">
        <v>41155</v>
      </c>
      <c r="D1075" s="1">
        <v>10</v>
      </c>
      <c r="E1075" s="1" t="s">
        <v>52</v>
      </c>
      <c r="I1075" s="1" t="s">
        <v>12</v>
      </c>
      <c r="J1075" s="1" t="s">
        <v>40</v>
      </c>
      <c r="K1075" s="1" t="s">
        <v>14</v>
      </c>
      <c r="L1075" s="1" t="s">
        <v>12</v>
      </c>
      <c r="M1075" s="1" t="s">
        <v>12</v>
      </c>
      <c r="N1075" s="1">
        <v>33.18</v>
      </c>
      <c r="O1075" s="1" t="s">
        <v>21</v>
      </c>
      <c r="P1075" s="1">
        <v>18</v>
      </c>
      <c r="Q1075" s="1" t="s">
        <v>16</v>
      </c>
      <c r="R1075" s="1" t="str">
        <f>IF(N1075="","",VLOOKUP(N1075,Prior_levels,2,TRUE))</f>
        <v>H</v>
      </c>
    </row>
    <row r="1076" spans="1:18" x14ac:dyDescent="0.2">
      <c r="A1076" s="1" t="s">
        <v>128</v>
      </c>
      <c r="B1076" s="1" t="s">
        <v>12</v>
      </c>
      <c r="C1076" s="2">
        <v>41155</v>
      </c>
      <c r="D1076" s="1">
        <v>10</v>
      </c>
      <c r="E1076" s="1" t="s">
        <v>52</v>
      </c>
      <c r="I1076" s="1" t="s">
        <v>12</v>
      </c>
      <c r="J1076" s="1" t="s">
        <v>40</v>
      </c>
      <c r="K1076" s="1" t="s">
        <v>14</v>
      </c>
      <c r="L1076" s="1" t="s">
        <v>12</v>
      </c>
      <c r="M1076" s="1" t="s">
        <v>12</v>
      </c>
      <c r="N1076" s="1">
        <v>33.18</v>
      </c>
      <c r="O1076" s="1" t="s">
        <v>22</v>
      </c>
      <c r="P1076" s="1">
        <v>0.36</v>
      </c>
      <c r="Q1076" s="1" t="s">
        <v>16</v>
      </c>
      <c r="R1076" s="1" t="str">
        <f>IF(N1076="","",VLOOKUP(N1076,Prior_levels,2,TRUE))</f>
        <v>H</v>
      </c>
    </row>
    <row r="1077" spans="1:18" x14ac:dyDescent="0.2">
      <c r="A1077" s="1" t="s">
        <v>128</v>
      </c>
      <c r="B1077" s="1" t="s">
        <v>12</v>
      </c>
      <c r="C1077" s="2">
        <v>41155</v>
      </c>
      <c r="D1077" s="1">
        <v>10</v>
      </c>
      <c r="E1077" s="1" t="s">
        <v>52</v>
      </c>
      <c r="I1077" s="1" t="s">
        <v>12</v>
      </c>
      <c r="J1077" s="1" t="s">
        <v>40</v>
      </c>
      <c r="K1077" s="1" t="s">
        <v>14</v>
      </c>
      <c r="L1077" s="1" t="s">
        <v>12</v>
      </c>
      <c r="M1077" s="1" t="s">
        <v>12</v>
      </c>
      <c r="N1077" s="1">
        <v>33.18</v>
      </c>
      <c r="O1077" s="1" t="s">
        <v>23</v>
      </c>
      <c r="P1077" s="1">
        <v>-1.66</v>
      </c>
      <c r="Q1077" s="1" t="s">
        <v>16</v>
      </c>
      <c r="R1077" s="1" t="str">
        <f>IF(N1077="","",VLOOKUP(N1077,Prior_levels,2,TRUE))</f>
        <v>H</v>
      </c>
    </row>
    <row r="1078" spans="1:18" x14ac:dyDescent="0.2">
      <c r="A1078" s="1" t="s">
        <v>128</v>
      </c>
      <c r="B1078" s="1" t="s">
        <v>12</v>
      </c>
      <c r="C1078" s="2">
        <v>41155</v>
      </c>
      <c r="D1078" s="1">
        <v>10</v>
      </c>
      <c r="E1078" s="1" t="s">
        <v>52</v>
      </c>
      <c r="I1078" s="1" t="s">
        <v>12</v>
      </c>
      <c r="J1078" s="1" t="s">
        <v>40</v>
      </c>
      <c r="K1078" s="1" t="s">
        <v>14</v>
      </c>
      <c r="L1078" s="1" t="s">
        <v>12</v>
      </c>
      <c r="M1078" s="1" t="s">
        <v>12</v>
      </c>
      <c r="N1078" s="1">
        <v>33.18</v>
      </c>
      <c r="O1078" s="1" t="s">
        <v>24</v>
      </c>
      <c r="P1078" s="1">
        <v>-1.27</v>
      </c>
      <c r="Q1078" s="1" t="s">
        <v>16</v>
      </c>
      <c r="R1078" s="1" t="str">
        <f>IF(N1078="","",VLOOKUP(N1078,Prior_levels,2,TRUE))</f>
        <v>H</v>
      </c>
    </row>
    <row r="1079" spans="1:18" x14ac:dyDescent="0.2">
      <c r="A1079" s="1" t="s">
        <v>128</v>
      </c>
      <c r="B1079" s="1" t="s">
        <v>12</v>
      </c>
      <c r="C1079" s="2">
        <v>41155</v>
      </c>
      <c r="D1079" s="1">
        <v>10</v>
      </c>
      <c r="E1079" s="1" t="s">
        <v>52</v>
      </c>
      <c r="I1079" s="1" t="s">
        <v>12</v>
      </c>
      <c r="J1079" s="1" t="s">
        <v>40</v>
      </c>
      <c r="K1079" s="1" t="s">
        <v>14</v>
      </c>
      <c r="L1079" s="1" t="s">
        <v>12</v>
      </c>
      <c r="M1079" s="1" t="s">
        <v>12</v>
      </c>
      <c r="N1079" s="1">
        <v>33.18</v>
      </c>
      <c r="O1079" s="1" t="s">
        <v>25</v>
      </c>
      <c r="P1079" s="1">
        <v>-1.62</v>
      </c>
      <c r="Q1079" s="1" t="s">
        <v>16</v>
      </c>
      <c r="R1079" s="1" t="str">
        <f>IF(N1079="","",VLOOKUP(N1079,Prior_levels,2,TRUE))</f>
        <v>H</v>
      </c>
    </row>
    <row r="1080" spans="1:18" x14ac:dyDescent="0.2">
      <c r="A1080" s="1" t="s">
        <v>128</v>
      </c>
      <c r="B1080" s="1" t="s">
        <v>12</v>
      </c>
      <c r="C1080" s="2">
        <v>41155</v>
      </c>
      <c r="D1080" s="1">
        <v>10</v>
      </c>
      <c r="E1080" s="1" t="s">
        <v>52</v>
      </c>
      <c r="I1080" s="1" t="s">
        <v>12</v>
      </c>
      <c r="J1080" s="1" t="s">
        <v>40</v>
      </c>
      <c r="K1080" s="1" t="s">
        <v>14</v>
      </c>
      <c r="L1080" s="1" t="s">
        <v>12</v>
      </c>
      <c r="M1080" s="1" t="s">
        <v>12</v>
      </c>
      <c r="N1080" s="1">
        <v>33.18</v>
      </c>
      <c r="O1080" s="1" t="s">
        <v>26</v>
      </c>
      <c r="P1080" s="1">
        <v>12</v>
      </c>
      <c r="Q1080" s="1" t="s">
        <v>16</v>
      </c>
      <c r="R1080" s="1" t="str">
        <f>IF(N1080="","",VLOOKUP(N1080,Prior_levels,2,TRUE))</f>
        <v>H</v>
      </c>
    </row>
    <row r="1081" spans="1:18" x14ac:dyDescent="0.2">
      <c r="A1081" s="1" t="s">
        <v>128</v>
      </c>
      <c r="B1081" s="1" t="s">
        <v>12</v>
      </c>
      <c r="C1081" s="2">
        <v>41155</v>
      </c>
      <c r="D1081" s="1">
        <v>10</v>
      </c>
      <c r="E1081" s="1" t="s">
        <v>52</v>
      </c>
      <c r="I1081" s="1" t="s">
        <v>12</v>
      </c>
      <c r="J1081" s="1" t="s">
        <v>40</v>
      </c>
      <c r="K1081" s="1" t="s">
        <v>14</v>
      </c>
      <c r="L1081" s="1" t="s">
        <v>12</v>
      </c>
      <c r="M1081" s="1" t="s">
        <v>12</v>
      </c>
      <c r="N1081" s="1">
        <v>33.18</v>
      </c>
      <c r="O1081" s="1" t="s">
        <v>32</v>
      </c>
      <c r="P1081" s="1" t="s">
        <v>37</v>
      </c>
      <c r="Q1081" s="1" t="s">
        <v>16</v>
      </c>
      <c r="R1081" s="1" t="str">
        <f>IF(N1081="","",VLOOKUP(N1081,Prior_levels,2,TRUE))</f>
        <v>H</v>
      </c>
    </row>
    <row r="1082" spans="1:18" x14ac:dyDescent="0.2">
      <c r="A1082" s="1" t="s">
        <v>128</v>
      </c>
      <c r="B1082" s="1" t="s">
        <v>12</v>
      </c>
      <c r="C1082" s="2">
        <v>41155</v>
      </c>
      <c r="D1082" s="1">
        <v>10</v>
      </c>
      <c r="E1082" s="1" t="s">
        <v>52</v>
      </c>
      <c r="I1082" s="1" t="s">
        <v>12</v>
      </c>
      <c r="J1082" s="1" t="s">
        <v>40</v>
      </c>
      <c r="K1082" s="1" t="s">
        <v>14</v>
      </c>
      <c r="L1082" s="1" t="s">
        <v>12</v>
      </c>
      <c r="M1082" s="1" t="s">
        <v>12</v>
      </c>
      <c r="N1082" s="1">
        <v>33.18</v>
      </c>
      <c r="O1082" s="1" t="s">
        <v>27</v>
      </c>
      <c r="P1082" s="1" t="s">
        <v>37</v>
      </c>
      <c r="Q1082" s="1" t="s">
        <v>16</v>
      </c>
      <c r="R1082" s="1" t="str">
        <f>IF(N1082="","",VLOOKUP(N1082,Prior_levels,2,TRUE))</f>
        <v>H</v>
      </c>
    </row>
    <row r="1083" spans="1:18" x14ac:dyDescent="0.2">
      <c r="A1083" s="1" t="s">
        <v>128</v>
      </c>
      <c r="B1083" s="1" t="s">
        <v>12</v>
      </c>
      <c r="C1083" s="2">
        <v>41155</v>
      </c>
      <c r="D1083" s="1">
        <v>10</v>
      </c>
      <c r="E1083" s="1" t="s">
        <v>52</v>
      </c>
      <c r="I1083" s="1" t="s">
        <v>12</v>
      </c>
      <c r="J1083" s="1" t="s">
        <v>40</v>
      </c>
      <c r="K1083" s="1" t="s">
        <v>14</v>
      </c>
      <c r="L1083" s="1" t="s">
        <v>12</v>
      </c>
      <c r="M1083" s="1" t="s">
        <v>12</v>
      </c>
      <c r="N1083" s="1">
        <v>33.18</v>
      </c>
      <c r="O1083" s="1" t="s">
        <v>29</v>
      </c>
      <c r="P1083" s="1" t="s">
        <v>37</v>
      </c>
      <c r="Q1083" s="1" t="s">
        <v>16</v>
      </c>
      <c r="R1083" s="1" t="str">
        <f>IF(N1083="","",VLOOKUP(N1083,Prior_levels,2,TRUE))</f>
        <v>H</v>
      </c>
    </row>
    <row r="1084" spans="1:18" x14ac:dyDescent="0.2">
      <c r="A1084" s="1" t="s">
        <v>128</v>
      </c>
      <c r="B1084" s="1" t="s">
        <v>12</v>
      </c>
      <c r="C1084" s="2">
        <v>41155</v>
      </c>
      <c r="D1084" s="1">
        <v>10</v>
      </c>
      <c r="E1084" s="1" t="s">
        <v>52</v>
      </c>
      <c r="I1084" s="1" t="s">
        <v>12</v>
      </c>
      <c r="J1084" s="1" t="s">
        <v>40</v>
      </c>
      <c r="K1084" s="1" t="s">
        <v>14</v>
      </c>
      <c r="L1084" s="1" t="s">
        <v>12</v>
      </c>
      <c r="M1084" s="1" t="s">
        <v>12</v>
      </c>
      <c r="N1084" s="1">
        <v>33.18</v>
      </c>
      <c r="O1084" s="1" t="s">
        <v>30</v>
      </c>
      <c r="P1084" s="1" t="s">
        <v>37</v>
      </c>
      <c r="Q1084" s="1" t="s">
        <v>16</v>
      </c>
      <c r="R1084" s="1" t="str">
        <f>IF(N1084="","",VLOOKUP(N1084,Prior_levels,2,TRUE))</f>
        <v>H</v>
      </c>
    </row>
    <row r="1085" spans="1:18" x14ac:dyDescent="0.2">
      <c r="A1085" s="1" t="s">
        <v>128</v>
      </c>
      <c r="B1085" s="1" t="s">
        <v>12</v>
      </c>
      <c r="C1085" s="2">
        <v>41155</v>
      </c>
      <c r="D1085" s="1">
        <v>10</v>
      </c>
      <c r="E1085" s="1" t="s">
        <v>52</v>
      </c>
      <c r="I1085" s="1" t="s">
        <v>12</v>
      </c>
      <c r="J1085" s="1" t="s">
        <v>40</v>
      </c>
      <c r="K1085" s="1" t="s">
        <v>14</v>
      </c>
      <c r="L1085" s="1" t="s">
        <v>12</v>
      </c>
      <c r="M1085" s="1" t="s">
        <v>12</v>
      </c>
      <c r="N1085" s="1">
        <v>33.18</v>
      </c>
      <c r="O1085" s="1" t="s">
        <v>31</v>
      </c>
      <c r="P1085" s="1" t="s">
        <v>37</v>
      </c>
      <c r="Q1085" s="1" t="s">
        <v>16</v>
      </c>
      <c r="R1085" s="1" t="str">
        <f>IF(N1085="","",VLOOKUP(N1085,Prior_levels,2,TRUE))</f>
        <v>H</v>
      </c>
    </row>
    <row r="1086" spans="1:18" x14ac:dyDescent="0.2">
      <c r="A1086" s="1" t="s">
        <v>129</v>
      </c>
      <c r="B1086" s="1" t="s">
        <v>10</v>
      </c>
      <c r="C1086" s="2">
        <v>41155</v>
      </c>
      <c r="D1086" s="1">
        <v>10</v>
      </c>
      <c r="E1086" s="1" t="s">
        <v>42</v>
      </c>
      <c r="I1086" s="1" t="s">
        <v>12</v>
      </c>
      <c r="J1086" s="1" t="s">
        <v>130</v>
      </c>
      <c r="K1086" s="1" t="s">
        <v>14</v>
      </c>
      <c r="L1086" s="1" t="s">
        <v>12</v>
      </c>
      <c r="M1086" s="1" t="s">
        <v>12</v>
      </c>
      <c r="N1086" s="1">
        <v>15.06</v>
      </c>
      <c r="O1086" s="1" t="s">
        <v>15</v>
      </c>
      <c r="P1086" s="1">
        <v>2.0499999999999998</v>
      </c>
      <c r="Q1086" s="1" t="s">
        <v>16</v>
      </c>
      <c r="R1086" s="1" t="str">
        <f>IF(N1086="","",VLOOKUP(N1086,Prior_levels,2,TRUE))</f>
        <v>L</v>
      </c>
    </row>
    <row r="1087" spans="1:18" x14ac:dyDescent="0.2">
      <c r="A1087" s="1" t="s">
        <v>129</v>
      </c>
      <c r="B1087" s="1" t="s">
        <v>10</v>
      </c>
      <c r="C1087" s="2">
        <v>41155</v>
      </c>
      <c r="D1087" s="1">
        <v>10</v>
      </c>
      <c r="E1087" s="1" t="s">
        <v>42</v>
      </c>
      <c r="I1087" s="1" t="s">
        <v>12</v>
      </c>
      <c r="J1087" s="1" t="s">
        <v>130</v>
      </c>
      <c r="K1087" s="1" t="s">
        <v>14</v>
      </c>
      <c r="L1087" s="1" t="s">
        <v>12</v>
      </c>
      <c r="M1087" s="1" t="s">
        <v>12</v>
      </c>
      <c r="N1087" s="1">
        <v>15.06</v>
      </c>
      <c r="O1087" s="1" t="s">
        <v>17</v>
      </c>
      <c r="P1087" s="1">
        <v>0.14000000000000001</v>
      </c>
      <c r="Q1087" s="1" t="s">
        <v>16</v>
      </c>
      <c r="R1087" s="1" t="str">
        <f>IF(N1087="","",VLOOKUP(N1087,Prior_levels,2,TRUE))</f>
        <v>L</v>
      </c>
    </row>
    <row r="1088" spans="1:18" x14ac:dyDescent="0.2">
      <c r="A1088" s="1" t="s">
        <v>129</v>
      </c>
      <c r="B1088" s="1" t="s">
        <v>10</v>
      </c>
      <c r="C1088" s="2">
        <v>41155</v>
      </c>
      <c r="D1088" s="1">
        <v>10</v>
      </c>
      <c r="E1088" s="1" t="s">
        <v>42</v>
      </c>
      <c r="I1088" s="1" t="s">
        <v>12</v>
      </c>
      <c r="J1088" s="1" t="s">
        <v>130</v>
      </c>
      <c r="K1088" s="1" t="s">
        <v>14</v>
      </c>
      <c r="L1088" s="1" t="s">
        <v>12</v>
      </c>
      <c r="M1088" s="1" t="s">
        <v>12</v>
      </c>
      <c r="N1088" s="1">
        <v>15.06</v>
      </c>
      <c r="O1088" s="1" t="s">
        <v>18</v>
      </c>
      <c r="P1088" s="1">
        <v>6</v>
      </c>
      <c r="Q1088" s="1" t="s">
        <v>16</v>
      </c>
      <c r="R1088" s="1" t="str">
        <f>IF(N1088="","",VLOOKUP(N1088,Prior_levels,2,TRUE))</f>
        <v>L</v>
      </c>
    </row>
    <row r="1089" spans="1:18" x14ac:dyDescent="0.2">
      <c r="A1089" s="1" t="s">
        <v>129</v>
      </c>
      <c r="B1089" s="1" t="s">
        <v>10</v>
      </c>
      <c r="C1089" s="2">
        <v>41155</v>
      </c>
      <c r="D1089" s="1">
        <v>10</v>
      </c>
      <c r="E1089" s="1" t="s">
        <v>42</v>
      </c>
      <c r="I1089" s="1" t="s">
        <v>12</v>
      </c>
      <c r="J1089" s="1" t="s">
        <v>130</v>
      </c>
      <c r="K1089" s="1" t="s">
        <v>14</v>
      </c>
      <c r="L1089" s="1" t="s">
        <v>12</v>
      </c>
      <c r="M1089" s="1" t="s">
        <v>12</v>
      </c>
      <c r="N1089" s="1">
        <v>15.06</v>
      </c>
      <c r="O1089" s="1" t="s">
        <v>19</v>
      </c>
      <c r="P1089" s="1">
        <v>4</v>
      </c>
      <c r="Q1089" s="1" t="s">
        <v>16</v>
      </c>
      <c r="R1089" s="1" t="str">
        <f>IF(N1089="","",VLOOKUP(N1089,Prior_levels,2,TRUE))</f>
        <v>L</v>
      </c>
    </row>
    <row r="1090" spans="1:18" x14ac:dyDescent="0.2">
      <c r="A1090" s="1" t="s">
        <v>129</v>
      </c>
      <c r="B1090" s="1" t="s">
        <v>10</v>
      </c>
      <c r="C1090" s="2">
        <v>41155</v>
      </c>
      <c r="D1090" s="1">
        <v>10</v>
      </c>
      <c r="E1090" s="1" t="s">
        <v>42</v>
      </c>
      <c r="I1090" s="1" t="s">
        <v>12</v>
      </c>
      <c r="J1090" s="1" t="s">
        <v>130</v>
      </c>
      <c r="K1090" s="1" t="s">
        <v>14</v>
      </c>
      <c r="L1090" s="1" t="s">
        <v>12</v>
      </c>
      <c r="M1090" s="1" t="s">
        <v>12</v>
      </c>
      <c r="N1090" s="1">
        <v>15.06</v>
      </c>
      <c r="O1090" s="1" t="s">
        <v>20</v>
      </c>
      <c r="P1090" s="1">
        <v>4.5</v>
      </c>
      <c r="Q1090" s="1" t="s">
        <v>16</v>
      </c>
      <c r="R1090" s="1" t="str">
        <f>IF(N1090="","",VLOOKUP(N1090,Prior_levels,2,TRUE))</f>
        <v>L</v>
      </c>
    </row>
    <row r="1091" spans="1:18" x14ac:dyDescent="0.2">
      <c r="A1091" s="1" t="s">
        <v>129</v>
      </c>
      <c r="B1091" s="1" t="s">
        <v>10</v>
      </c>
      <c r="C1091" s="2">
        <v>41155</v>
      </c>
      <c r="D1091" s="1">
        <v>10</v>
      </c>
      <c r="E1091" s="1" t="s">
        <v>42</v>
      </c>
      <c r="I1091" s="1" t="s">
        <v>12</v>
      </c>
      <c r="J1091" s="1" t="s">
        <v>130</v>
      </c>
      <c r="K1091" s="1" t="s">
        <v>14</v>
      </c>
      <c r="L1091" s="1" t="s">
        <v>12</v>
      </c>
      <c r="M1091" s="1" t="s">
        <v>12</v>
      </c>
      <c r="N1091" s="1">
        <v>15.06</v>
      </c>
      <c r="O1091" s="1" t="s">
        <v>21</v>
      </c>
      <c r="P1091" s="1">
        <v>6</v>
      </c>
      <c r="Q1091" s="1" t="s">
        <v>16</v>
      </c>
      <c r="R1091" s="1" t="str">
        <f>IF(N1091="","",VLOOKUP(N1091,Prior_levels,2,TRUE))</f>
        <v>L</v>
      </c>
    </row>
    <row r="1092" spans="1:18" x14ac:dyDescent="0.2">
      <c r="A1092" s="1" t="s">
        <v>129</v>
      </c>
      <c r="B1092" s="1" t="s">
        <v>10</v>
      </c>
      <c r="C1092" s="2">
        <v>41155</v>
      </c>
      <c r="D1092" s="1">
        <v>10</v>
      </c>
      <c r="E1092" s="1" t="s">
        <v>42</v>
      </c>
      <c r="I1092" s="1" t="s">
        <v>12</v>
      </c>
      <c r="J1092" s="1" t="s">
        <v>130</v>
      </c>
      <c r="K1092" s="1" t="s">
        <v>14</v>
      </c>
      <c r="L1092" s="1" t="s">
        <v>12</v>
      </c>
      <c r="M1092" s="1" t="s">
        <v>12</v>
      </c>
      <c r="N1092" s="1">
        <v>15.06</v>
      </c>
      <c r="O1092" s="1" t="s">
        <v>22</v>
      </c>
      <c r="P1092" s="1">
        <v>0.34</v>
      </c>
      <c r="Q1092" s="1" t="s">
        <v>16</v>
      </c>
      <c r="R1092" s="1" t="str">
        <f>IF(N1092="","",VLOOKUP(N1092,Prior_levels,2,TRUE))</f>
        <v>L</v>
      </c>
    </row>
    <row r="1093" spans="1:18" x14ac:dyDescent="0.2">
      <c r="A1093" s="1" t="s">
        <v>129</v>
      </c>
      <c r="B1093" s="1" t="s">
        <v>10</v>
      </c>
      <c r="C1093" s="2">
        <v>41155</v>
      </c>
      <c r="D1093" s="1">
        <v>10</v>
      </c>
      <c r="E1093" s="1" t="s">
        <v>42</v>
      </c>
      <c r="I1093" s="1" t="s">
        <v>12</v>
      </c>
      <c r="J1093" s="1" t="s">
        <v>130</v>
      </c>
      <c r="K1093" s="1" t="s">
        <v>14</v>
      </c>
      <c r="L1093" s="1" t="s">
        <v>12</v>
      </c>
      <c r="M1093" s="1" t="s">
        <v>12</v>
      </c>
      <c r="N1093" s="1">
        <v>15.06</v>
      </c>
      <c r="O1093" s="1" t="s">
        <v>23</v>
      </c>
      <c r="P1093" s="1">
        <v>0.68</v>
      </c>
      <c r="Q1093" s="1" t="s">
        <v>16</v>
      </c>
      <c r="R1093" s="1" t="str">
        <f>IF(N1093="","",VLOOKUP(N1093,Prior_levels,2,TRUE))</f>
        <v>L</v>
      </c>
    </row>
    <row r="1094" spans="1:18" x14ac:dyDescent="0.2">
      <c r="A1094" s="1" t="s">
        <v>129</v>
      </c>
      <c r="B1094" s="1" t="s">
        <v>10</v>
      </c>
      <c r="C1094" s="2">
        <v>41155</v>
      </c>
      <c r="D1094" s="1">
        <v>10</v>
      </c>
      <c r="E1094" s="1" t="s">
        <v>42</v>
      </c>
      <c r="I1094" s="1" t="s">
        <v>12</v>
      </c>
      <c r="J1094" s="1" t="s">
        <v>130</v>
      </c>
      <c r="K1094" s="1" t="s">
        <v>14</v>
      </c>
      <c r="L1094" s="1" t="s">
        <v>12</v>
      </c>
      <c r="M1094" s="1" t="s">
        <v>12</v>
      </c>
      <c r="N1094" s="1">
        <v>15.06</v>
      </c>
      <c r="O1094" s="1" t="s">
        <v>25</v>
      </c>
      <c r="P1094" s="1">
        <v>-2.63</v>
      </c>
      <c r="Q1094" s="1" t="s">
        <v>16</v>
      </c>
      <c r="R1094" s="1" t="str">
        <f>IF(N1094="","",VLOOKUP(N1094,Prior_levels,2,TRUE))</f>
        <v>L</v>
      </c>
    </row>
    <row r="1095" spans="1:18" x14ac:dyDescent="0.2">
      <c r="A1095" s="1" t="s">
        <v>129</v>
      </c>
      <c r="B1095" s="1" t="s">
        <v>10</v>
      </c>
      <c r="C1095" s="2">
        <v>41155</v>
      </c>
      <c r="D1095" s="1">
        <v>10</v>
      </c>
      <c r="E1095" s="1" t="s">
        <v>42</v>
      </c>
      <c r="I1095" s="1" t="s">
        <v>12</v>
      </c>
      <c r="J1095" s="1" t="s">
        <v>130</v>
      </c>
      <c r="K1095" s="1" t="s">
        <v>14</v>
      </c>
      <c r="L1095" s="1" t="s">
        <v>12</v>
      </c>
      <c r="M1095" s="1" t="s">
        <v>12</v>
      </c>
      <c r="N1095" s="1">
        <v>15.06</v>
      </c>
      <c r="O1095" s="1" t="s">
        <v>26</v>
      </c>
      <c r="P1095" s="1">
        <v>0</v>
      </c>
      <c r="Q1095" s="1" t="s">
        <v>16</v>
      </c>
      <c r="R1095" s="1" t="str">
        <f>IF(N1095="","",VLOOKUP(N1095,Prior_levels,2,TRUE))</f>
        <v>L</v>
      </c>
    </row>
    <row r="1096" spans="1:18" x14ac:dyDescent="0.2">
      <c r="A1096" s="1" t="s">
        <v>129</v>
      </c>
      <c r="B1096" s="1" t="s">
        <v>10</v>
      </c>
      <c r="C1096" s="2">
        <v>41155</v>
      </c>
      <c r="D1096" s="1">
        <v>10</v>
      </c>
      <c r="E1096" s="1" t="s">
        <v>42</v>
      </c>
      <c r="I1096" s="1" t="s">
        <v>12</v>
      </c>
      <c r="J1096" s="1" t="s">
        <v>130</v>
      </c>
      <c r="K1096" s="1" t="s">
        <v>14</v>
      </c>
      <c r="L1096" s="1" t="s">
        <v>12</v>
      </c>
      <c r="M1096" s="1" t="s">
        <v>12</v>
      </c>
      <c r="N1096" s="1">
        <v>15.06</v>
      </c>
      <c r="O1096" s="1" t="s">
        <v>24</v>
      </c>
      <c r="P1096" s="1">
        <v>1.94</v>
      </c>
      <c r="Q1096" s="1" t="s">
        <v>16</v>
      </c>
      <c r="R1096" s="1" t="str">
        <f>IF(N1096="","",VLOOKUP(N1096,Prior_levels,2,TRUE))</f>
        <v>L</v>
      </c>
    </row>
    <row r="1097" spans="1:18" x14ac:dyDescent="0.2">
      <c r="A1097" s="1" t="s">
        <v>129</v>
      </c>
      <c r="B1097" s="1" t="s">
        <v>10</v>
      </c>
      <c r="C1097" s="2">
        <v>41155</v>
      </c>
      <c r="D1097" s="1">
        <v>10</v>
      </c>
      <c r="E1097" s="1" t="s">
        <v>42</v>
      </c>
      <c r="I1097" s="1" t="s">
        <v>12</v>
      </c>
      <c r="J1097" s="1" t="s">
        <v>130</v>
      </c>
      <c r="K1097" s="1" t="s">
        <v>14</v>
      </c>
      <c r="L1097" s="1" t="s">
        <v>12</v>
      </c>
      <c r="M1097" s="1" t="s">
        <v>12</v>
      </c>
      <c r="N1097" s="1">
        <v>15.06</v>
      </c>
      <c r="O1097" s="1" t="s">
        <v>32</v>
      </c>
      <c r="P1097" s="1" t="s">
        <v>28</v>
      </c>
      <c r="Q1097" s="1" t="s">
        <v>16</v>
      </c>
      <c r="R1097" s="1" t="str">
        <f>IF(N1097="","",VLOOKUP(N1097,Prior_levels,2,TRUE))</f>
        <v>L</v>
      </c>
    </row>
    <row r="1098" spans="1:18" x14ac:dyDescent="0.2">
      <c r="A1098" s="1" t="s">
        <v>129</v>
      </c>
      <c r="B1098" s="1" t="s">
        <v>10</v>
      </c>
      <c r="C1098" s="2">
        <v>41155</v>
      </c>
      <c r="D1098" s="1">
        <v>10</v>
      </c>
      <c r="E1098" s="1" t="s">
        <v>42</v>
      </c>
      <c r="I1098" s="1" t="s">
        <v>12</v>
      </c>
      <c r="J1098" s="1" t="s">
        <v>130</v>
      </c>
      <c r="K1098" s="1" t="s">
        <v>14</v>
      </c>
      <c r="L1098" s="1" t="s">
        <v>12</v>
      </c>
      <c r="M1098" s="1" t="s">
        <v>12</v>
      </c>
      <c r="N1098" s="1">
        <v>15.06</v>
      </c>
      <c r="O1098" s="1" t="s">
        <v>27</v>
      </c>
      <c r="P1098" s="1" t="s">
        <v>28</v>
      </c>
      <c r="Q1098" s="1" t="s">
        <v>16</v>
      </c>
      <c r="R1098" s="1" t="str">
        <f>IF(N1098="","",VLOOKUP(N1098,Prior_levels,2,TRUE))</f>
        <v>L</v>
      </c>
    </row>
    <row r="1099" spans="1:18" x14ac:dyDescent="0.2">
      <c r="A1099" s="1" t="s">
        <v>129</v>
      </c>
      <c r="B1099" s="1" t="s">
        <v>10</v>
      </c>
      <c r="C1099" s="2">
        <v>41155</v>
      </c>
      <c r="D1099" s="1">
        <v>10</v>
      </c>
      <c r="E1099" s="1" t="s">
        <v>42</v>
      </c>
      <c r="I1099" s="1" t="s">
        <v>12</v>
      </c>
      <c r="J1099" s="1" t="s">
        <v>130</v>
      </c>
      <c r="K1099" s="1" t="s">
        <v>14</v>
      </c>
      <c r="L1099" s="1" t="s">
        <v>12</v>
      </c>
      <c r="M1099" s="1" t="s">
        <v>12</v>
      </c>
      <c r="N1099" s="1">
        <v>15.06</v>
      </c>
      <c r="O1099" s="1" t="s">
        <v>29</v>
      </c>
      <c r="P1099" s="1" t="s">
        <v>28</v>
      </c>
      <c r="Q1099" s="1" t="s">
        <v>16</v>
      </c>
      <c r="R1099" s="1" t="str">
        <f>IF(N1099="","",VLOOKUP(N1099,Prior_levels,2,TRUE))</f>
        <v>L</v>
      </c>
    </row>
    <row r="1100" spans="1:18" x14ac:dyDescent="0.2">
      <c r="A1100" s="1" t="s">
        <v>129</v>
      </c>
      <c r="B1100" s="1" t="s">
        <v>10</v>
      </c>
      <c r="C1100" s="2">
        <v>41155</v>
      </c>
      <c r="D1100" s="1">
        <v>10</v>
      </c>
      <c r="E1100" s="1" t="s">
        <v>42</v>
      </c>
      <c r="I1100" s="1" t="s">
        <v>12</v>
      </c>
      <c r="J1100" s="1" t="s">
        <v>130</v>
      </c>
      <c r="K1100" s="1" t="s">
        <v>14</v>
      </c>
      <c r="L1100" s="1" t="s">
        <v>12</v>
      </c>
      <c r="M1100" s="1" t="s">
        <v>12</v>
      </c>
      <c r="N1100" s="1">
        <v>15.06</v>
      </c>
      <c r="O1100" s="1" t="s">
        <v>30</v>
      </c>
      <c r="P1100" s="1" t="s">
        <v>28</v>
      </c>
      <c r="Q1100" s="1" t="s">
        <v>16</v>
      </c>
      <c r="R1100" s="1" t="str">
        <f>IF(N1100="","",VLOOKUP(N1100,Prior_levels,2,TRUE))</f>
        <v>L</v>
      </c>
    </row>
    <row r="1101" spans="1:18" x14ac:dyDescent="0.2">
      <c r="A1101" s="1" t="s">
        <v>129</v>
      </c>
      <c r="B1101" s="1" t="s">
        <v>10</v>
      </c>
      <c r="C1101" s="2">
        <v>41155</v>
      </c>
      <c r="D1101" s="1">
        <v>10</v>
      </c>
      <c r="E1101" s="1" t="s">
        <v>42</v>
      </c>
      <c r="I1101" s="1" t="s">
        <v>12</v>
      </c>
      <c r="J1101" s="1" t="s">
        <v>130</v>
      </c>
      <c r="K1101" s="1" t="s">
        <v>14</v>
      </c>
      <c r="L1101" s="1" t="s">
        <v>12</v>
      </c>
      <c r="M1101" s="1" t="s">
        <v>12</v>
      </c>
      <c r="N1101" s="1">
        <v>15.06</v>
      </c>
      <c r="O1101" s="1" t="s">
        <v>31</v>
      </c>
      <c r="P1101" s="1" t="s">
        <v>28</v>
      </c>
      <c r="Q1101" s="1" t="s">
        <v>16</v>
      </c>
      <c r="R1101" s="1" t="str">
        <f>IF(N1101="","",VLOOKUP(N1101,Prior_levels,2,TRUE))</f>
        <v>L</v>
      </c>
    </row>
    <row r="1102" spans="1:18" x14ac:dyDescent="0.2">
      <c r="A1102" s="1" t="s">
        <v>131</v>
      </c>
      <c r="B1102" s="1" t="s">
        <v>10</v>
      </c>
      <c r="C1102" s="2">
        <v>41155</v>
      </c>
      <c r="D1102" s="1">
        <v>10</v>
      </c>
      <c r="E1102" s="1" t="s">
        <v>34</v>
      </c>
      <c r="I1102" s="1" t="s">
        <v>12</v>
      </c>
      <c r="J1102" s="1" t="s">
        <v>40</v>
      </c>
      <c r="K1102" s="1" t="s">
        <v>14</v>
      </c>
      <c r="L1102" s="1" t="s">
        <v>12</v>
      </c>
      <c r="M1102" s="1" t="s">
        <v>12</v>
      </c>
      <c r="N1102" s="1">
        <v>21.12</v>
      </c>
      <c r="O1102" s="1" t="s">
        <v>15</v>
      </c>
      <c r="P1102" s="1">
        <v>3.2</v>
      </c>
      <c r="Q1102" s="1" t="s">
        <v>16</v>
      </c>
      <c r="R1102" s="1" t="str">
        <f>IF(N1102="","",VLOOKUP(N1102,Prior_levels,2,TRUE))</f>
        <v>L</v>
      </c>
    </row>
    <row r="1103" spans="1:18" x14ac:dyDescent="0.2">
      <c r="A1103" s="1" t="s">
        <v>131</v>
      </c>
      <c r="B1103" s="1" t="s">
        <v>10</v>
      </c>
      <c r="C1103" s="2">
        <v>41155</v>
      </c>
      <c r="D1103" s="1">
        <v>10</v>
      </c>
      <c r="E1103" s="1" t="s">
        <v>34</v>
      </c>
      <c r="I1103" s="1" t="s">
        <v>12</v>
      </c>
      <c r="J1103" s="1" t="s">
        <v>40</v>
      </c>
      <c r="K1103" s="1" t="s">
        <v>14</v>
      </c>
      <c r="L1103" s="1" t="s">
        <v>12</v>
      </c>
      <c r="M1103" s="1" t="s">
        <v>12</v>
      </c>
      <c r="N1103" s="1">
        <v>21.12</v>
      </c>
      <c r="O1103" s="1" t="s">
        <v>17</v>
      </c>
      <c r="P1103" s="1">
        <v>0.37</v>
      </c>
      <c r="Q1103" s="1" t="s">
        <v>16</v>
      </c>
      <c r="R1103" s="1" t="str">
        <f>IF(N1103="","",VLOOKUP(N1103,Prior_levels,2,TRUE))</f>
        <v>L</v>
      </c>
    </row>
    <row r="1104" spans="1:18" x14ac:dyDescent="0.2">
      <c r="A1104" s="1" t="s">
        <v>131</v>
      </c>
      <c r="B1104" s="1" t="s">
        <v>10</v>
      </c>
      <c r="C1104" s="2">
        <v>41155</v>
      </c>
      <c r="D1104" s="1">
        <v>10</v>
      </c>
      <c r="E1104" s="1" t="s">
        <v>34</v>
      </c>
      <c r="I1104" s="1" t="s">
        <v>12</v>
      </c>
      <c r="J1104" s="1" t="s">
        <v>40</v>
      </c>
      <c r="K1104" s="1" t="s">
        <v>14</v>
      </c>
      <c r="L1104" s="1" t="s">
        <v>12</v>
      </c>
      <c r="M1104" s="1" t="s">
        <v>12</v>
      </c>
      <c r="N1104" s="1">
        <v>21.12</v>
      </c>
      <c r="O1104" s="1" t="s">
        <v>18</v>
      </c>
      <c r="P1104" s="1">
        <v>8</v>
      </c>
      <c r="Q1104" s="1" t="s">
        <v>16</v>
      </c>
      <c r="R1104" s="1" t="str">
        <f>IF(N1104="","",VLOOKUP(N1104,Prior_levels,2,TRUE))</f>
        <v>L</v>
      </c>
    </row>
    <row r="1105" spans="1:18" x14ac:dyDescent="0.2">
      <c r="A1105" s="1" t="s">
        <v>131</v>
      </c>
      <c r="B1105" s="1" t="s">
        <v>10</v>
      </c>
      <c r="C1105" s="2">
        <v>41155</v>
      </c>
      <c r="D1105" s="1">
        <v>10</v>
      </c>
      <c r="E1105" s="1" t="s">
        <v>34</v>
      </c>
      <c r="I1105" s="1" t="s">
        <v>12</v>
      </c>
      <c r="J1105" s="1" t="s">
        <v>40</v>
      </c>
      <c r="K1105" s="1" t="s">
        <v>14</v>
      </c>
      <c r="L1105" s="1" t="s">
        <v>12</v>
      </c>
      <c r="M1105" s="1" t="s">
        <v>12</v>
      </c>
      <c r="N1105" s="1">
        <v>21.12</v>
      </c>
      <c r="O1105" s="1" t="s">
        <v>19</v>
      </c>
      <c r="P1105" s="1">
        <v>6</v>
      </c>
      <c r="Q1105" s="1" t="s">
        <v>16</v>
      </c>
      <c r="R1105" s="1" t="str">
        <f>IF(N1105="","",VLOOKUP(N1105,Prior_levels,2,TRUE))</f>
        <v>L</v>
      </c>
    </row>
    <row r="1106" spans="1:18" x14ac:dyDescent="0.2">
      <c r="A1106" s="1" t="s">
        <v>131</v>
      </c>
      <c r="B1106" s="1" t="s">
        <v>10</v>
      </c>
      <c r="C1106" s="2">
        <v>41155</v>
      </c>
      <c r="D1106" s="1">
        <v>10</v>
      </c>
      <c r="E1106" s="1" t="s">
        <v>34</v>
      </c>
      <c r="I1106" s="1" t="s">
        <v>12</v>
      </c>
      <c r="J1106" s="1" t="s">
        <v>40</v>
      </c>
      <c r="K1106" s="1" t="s">
        <v>14</v>
      </c>
      <c r="L1106" s="1" t="s">
        <v>12</v>
      </c>
      <c r="M1106" s="1" t="s">
        <v>12</v>
      </c>
      <c r="N1106" s="1">
        <v>21.12</v>
      </c>
      <c r="O1106" s="1" t="s">
        <v>20</v>
      </c>
      <c r="P1106" s="1">
        <v>8</v>
      </c>
      <c r="Q1106" s="1" t="s">
        <v>16</v>
      </c>
      <c r="R1106" s="1" t="str">
        <f>IF(N1106="","",VLOOKUP(N1106,Prior_levels,2,TRUE))</f>
        <v>L</v>
      </c>
    </row>
    <row r="1107" spans="1:18" x14ac:dyDescent="0.2">
      <c r="A1107" s="1" t="s">
        <v>131</v>
      </c>
      <c r="B1107" s="1" t="s">
        <v>10</v>
      </c>
      <c r="C1107" s="2">
        <v>41155</v>
      </c>
      <c r="D1107" s="1">
        <v>10</v>
      </c>
      <c r="E1107" s="1" t="s">
        <v>34</v>
      </c>
      <c r="I1107" s="1" t="s">
        <v>12</v>
      </c>
      <c r="J1107" s="1" t="s">
        <v>40</v>
      </c>
      <c r="K1107" s="1" t="s">
        <v>14</v>
      </c>
      <c r="L1107" s="1" t="s">
        <v>12</v>
      </c>
      <c r="M1107" s="1" t="s">
        <v>12</v>
      </c>
      <c r="N1107" s="1">
        <v>21.12</v>
      </c>
      <c r="O1107" s="1" t="s">
        <v>21</v>
      </c>
      <c r="P1107" s="1">
        <v>10</v>
      </c>
      <c r="Q1107" s="1" t="s">
        <v>16</v>
      </c>
      <c r="R1107" s="1" t="str">
        <f>IF(N1107="","",VLOOKUP(N1107,Prior_levels,2,TRUE))</f>
        <v>L</v>
      </c>
    </row>
    <row r="1108" spans="1:18" x14ac:dyDescent="0.2">
      <c r="A1108" s="1" t="s">
        <v>131</v>
      </c>
      <c r="B1108" s="1" t="s">
        <v>10</v>
      </c>
      <c r="C1108" s="2">
        <v>41155</v>
      </c>
      <c r="D1108" s="1">
        <v>10</v>
      </c>
      <c r="E1108" s="1" t="s">
        <v>34</v>
      </c>
      <c r="I1108" s="1" t="s">
        <v>12</v>
      </c>
      <c r="J1108" s="1" t="s">
        <v>40</v>
      </c>
      <c r="K1108" s="1" t="s">
        <v>14</v>
      </c>
      <c r="L1108" s="1" t="s">
        <v>12</v>
      </c>
      <c r="M1108" s="1" t="s">
        <v>12</v>
      </c>
      <c r="N1108" s="1">
        <v>21.12</v>
      </c>
      <c r="O1108" s="1" t="s">
        <v>22</v>
      </c>
      <c r="P1108" s="1">
        <v>0.34</v>
      </c>
      <c r="Q1108" s="1" t="s">
        <v>16</v>
      </c>
      <c r="R1108" s="1" t="str">
        <f>IF(N1108="","",VLOOKUP(N1108,Prior_levels,2,TRUE))</f>
        <v>L</v>
      </c>
    </row>
    <row r="1109" spans="1:18" x14ac:dyDescent="0.2">
      <c r="A1109" s="1" t="s">
        <v>131</v>
      </c>
      <c r="B1109" s="1" t="s">
        <v>10</v>
      </c>
      <c r="C1109" s="2">
        <v>41155</v>
      </c>
      <c r="D1109" s="1">
        <v>10</v>
      </c>
      <c r="E1109" s="1" t="s">
        <v>34</v>
      </c>
      <c r="I1109" s="1" t="s">
        <v>12</v>
      </c>
      <c r="J1109" s="1" t="s">
        <v>40</v>
      </c>
      <c r="K1109" s="1" t="s">
        <v>14</v>
      </c>
      <c r="L1109" s="1" t="s">
        <v>12</v>
      </c>
      <c r="M1109" s="1" t="s">
        <v>12</v>
      </c>
      <c r="N1109" s="1">
        <v>21.12</v>
      </c>
      <c r="O1109" s="1" t="s">
        <v>23</v>
      </c>
      <c r="P1109" s="1">
        <v>0.39</v>
      </c>
      <c r="Q1109" s="1" t="s">
        <v>16</v>
      </c>
      <c r="R1109" s="1" t="str">
        <f>IF(N1109="","",VLOOKUP(N1109,Prior_levels,2,TRUE))</f>
        <v>L</v>
      </c>
    </row>
    <row r="1110" spans="1:18" x14ac:dyDescent="0.2">
      <c r="A1110" s="1" t="s">
        <v>131</v>
      </c>
      <c r="B1110" s="1" t="s">
        <v>10</v>
      </c>
      <c r="C1110" s="2">
        <v>41155</v>
      </c>
      <c r="D1110" s="1">
        <v>10</v>
      </c>
      <c r="E1110" s="1" t="s">
        <v>34</v>
      </c>
      <c r="I1110" s="1" t="s">
        <v>12</v>
      </c>
      <c r="J1110" s="1" t="s">
        <v>40</v>
      </c>
      <c r="K1110" s="1" t="s">
        <v>14</v>
      </c>
      <c r="L1110" s="1" t="s">
        <v>12</v>
      </c>
      <c r="M1110" s="1" t="s">
        <v>12</v>
      </c>
      <c r="N1110" s="1">
        <v>21.12</v>
      </c>
      <c r="O1110" s="1" t="s">
        <v>25</v>
      </c>
      <c r="P1110" s="1">
        <v>-1.2</v>
      </c>
      <c r="Q1110" s="1" t="s">
        <v>16</v>
      </c>
      <c r="R1110" s="1" t="str">
        <f>IF(N1110="","",VLOOKUP(N1110,Prior_levels,2,TRUE))</f>
        <v>L</v>
      </c>
    </row>
    <row r="1111" spans="1:18" x14ac:dyDescent="0.2">
      <c r="A1111" s="1" t="s">
        <v>131</v>
      </c>
      <c r="B1111" s="1" t="s">
        <v>10</v>
      </c>
      <c r="C1111" s="2">
        <v>41155</v>
      </c>
      <c r="D1111" s="1">
        <v>10</v>
      </c>
      <c r="E1111" s="1" t="s">
        <v>34</v>
      </c>
      <c r="I1111" s="1" t="s">
        <v>12</v>
      </c>
      <c r="J1111" s="1" t="s">
        <v>40</v>
      </c>
      <c r="K1111" s="1" t="s">
        <v>14</v>
      </c>
      <c r="L1111" s="1" t="s">
        <v>12</v>
      </c>
      <c r="M1111" s="1" t="s">
        <v>12</v>
      </c>
      <c r="N1111" s="1">
        <v>21.12</v>
      </c>
      <c r="O1111" s="1" t="s">
        <v>26</v>
      </c>
      <c r="P1111" s="1">
        <v>0</v>
      </c>
      <c r="Q1111" s="1" t="s">
        <v>16</v>
      </c>
      <c r="R1111" s="1" t="str">
        <f>IF(N1111="","",VLOOKUP(N1111,Prior_levels,2,TRUE))</f>
        <v>L</v>
      </c>
    </row>
    <row r="1112" spans="1:18" x14ac:dyDescent="0.2">
      <c r="A1112" s="1" t="s">
        <v>131</v>
      </c>
      <c r="B1112" s="1" t="s">
        <v>10</v>
      </c>
      <c r="C1112" s="2">
        <v>41155</v>
      </c>
      <c r="D1112" s="1">
        <v>10</v>
      </c>
      <c r="E1112" s="1" t="s">
        <v>34</v>
      </c>
      <c r="I1112" s="1" t="s">
        <v>12</v>
      </c>
      <c r="J1112" s="1" t="s">
        <v>40</v>
      </c>
      <c r="K1112" s="1" t="s">
        <v>14</v>
      </c>
      <c r="L1112" s="1" t="s">
        <v>12</v>
      </c>
      <c r="M1112" s="1" t="s">
        <v>12</v>
      </c>
      <c r="N1112" s="1">
        <v>21.12</v>
      </c>
      <c r="O1112" s="1" t="s">
        <v>24</v>
      </c>
      <c r="P1112" s="1">
        <v>3.49</v>
      </c>
      <c r="Q1112" s="1" t="s">
        <v>16</v>
      </c>
      <c r="R1112" s="1" t="str">
        <f>IF(N1112="","",VLOOKUP(N1112,Prior_levels,2,TRUE))</f>
        <v>L</v>
      </c>
    </row>
    <row r="1113" spans="1:18" x14ac:dyDescent="0.2">
      <c r="A1113" s="1" t="s">
        <v>131</v>
      </c>
      <c r="B1113" s="1" t="s">
        <v>10</v>
      </c>
      <c r="C1113" s="2">
        <v>41155</v>
      </c>
      <c r="D1113" s="1">
        <v>10</v>
      </c>
      <c r="E1113" s="1" t="s">
        <v>34</v>
      </c>
      <c r="I1113" s="1" t="s">
        <v>12</v>
      </c>
      <c r="J1113" s="1" t="s">
        <v>40</v>
      </c>
      <c r="K1113" s="1" t="s">
        <v>14</v>
      </c>
      <c r="L1113" s="1" t="s">
        <v>12</v>
      </c>
      <c r="M1113" s="1" t="s">
        <v>12</v>
      </c>
      <c r="N1113" s="1">
        <v>21.12</v>
      </c>
      <c r="O1113" s="1" t="s">
        <v>27</v>
      </c>
      <c r="P1113" s="1" t="s">
        <v>28</v>
      </c>
      <c r="Q1113" s="1" t="s">
        <v>16</v>
      </c>
      <c r="R1113" s="1" t="str">
        <f>IF(N1113="","",VLOOKUP(N1113,Prior_levels,2,TRUE))</f>
        <v>L</v>
      </c>
    </row>
    <row r="1114" spans="1:18" x14ac:dyDescent="0.2">
      <c r="A1114" s="1" t="s">
        <v>131</v>
      </c>
      <c r="B1114" s="1" t="s">
        <v>10</v>
      </c>
      <c r="C1114" s="2">
        <v>41155</v>
      </c>
      <c r="D1114" s="1">
        <v>10</v>
      </c>
      <c r="E1114" s="1" t="s">
        <v>34</v>
      </c>
      <c r="I1114" s="1" t="s">
        <v>12</v>
      </c>
      <c r="J1114" s="1" t="s">
        <v>40</v>
      </c>
      <c r="K1114" s="1" t="s">
        <v>14</v>
      </c>
      <c r="L1114" s="1" t="s">
        <v>12</v>
      </c>
      <c r="M1114" s="1" t="s">
        <v>12</v>
      </c>
      <c r="N1114" s="1">
        <v>21.12</v>
      </c>
      <c r="O1114" s="1" t="s">
        <v>29</v>
      </c>
      <c r="P1114" s="1" t="s">
        <v>28</v>
      </c>
      <c r="Q1114" s="1" t="s">
        <v>16</v>
      </c>
      <c r="R1114" s="1" t="str">
        <f>IF(N1114="","",VLOOKUP(N1114,Prior_levels,2,TRUE))</f>
        <v>L</v>
      </c>
    </row>
    <row r="1115" spans="1:18" x14ac:dyDescent="0.2">
      <c r="A1115" s="1" t="s">
        <v>131</v>
      </c>
      <c r="B1115" s="1" t="s">
        <v>10</v>
      </c>
      <c r="C1115" s="2">
        <v>41155</v>
      </c>
      <c r="D1115" s="1">
        <v>10</v>
      </c>
      <c r="E1115" s="1" t="s">
        <v>34</v>
      </c>
      <c r="I1115" s="1" t="s">
        <v>12</v>
      </c>
      <c r="J1115" s="1" t="s">
        <v>40</v>
      </c>
      <c r="K1115" s="1" t="s">
        <v>14</v>
      </c>
      <c r="L1115" s="1" t="s">
        <v>12</v>
      </c>
      <c r="M1115" s="1" t="s">
        <v>12</v>
      </c>
      <c r="N1115" s="1">
        <v>21.12</v>
      </c>
      <c r="O1115" s="1" t="s">
        <v>30</v>
      </c>
      <c r="P1115" s="1" t="s">
        <v>28</v>
      </c>
      <c r="Q1115" s="1" t="s">
        <v>16</v>
      </c>
      <c r="R1115" s="1" t="str">
        <f>IF(N1115="","",VLOOKUP(N1115,Prior_levels,2,TRUE))</f>
        <v>L</v>
      </c>
    </row>
    <row r="1116" spans="1:18" x14ac:dyDescent="0.2">
      <c r="A1116" s="1" t="s">
        <v>131</v>
      </c>
      <c r="B1116" s="1" t="s">
        <v>10</v>
      </c>
      <c r="C1116" s="2">
        <v>41155</v>
      </c>
      <c r="D1116" s="1">
        <v>10</v>
      </c>
      <c r="E1116" s="1" t="s">
        <v>34</v>
      </c>
      <c r="I1116" s="1" t="s">
        <v>12</v>
      </c>
      <c r="J1116" s="1" t="s">
        <v>40</v>
      </c>
      <c r="K1116" s="1" t="s">
        <v>14</v>
      </c>
      <c r="L1116" s="1" t="s">
        <v>12</v>
      </c>
      <c r="M1116" s="1" t="s">
        <v>12</v>
      </c>
      <c r="N1116" s="1">
        <v>21.12</v>
      </c>
      <c r="O1116" s="1" t="s">
        <v>31</v>
      </c>
      <c r="P1116" s="1" t="s">
        <v>28</v>
      </c>
      <c r="Q1116" s="1" t="s">
        <v>16</v>
      </c>
      <c r="R1116" s="1" t="str">
        <f>IF(N1116="","",VLOOKUP(N1116,Prior_levels,2,TRUE))</f>
        <v>L</v>
      </c>
    </row>
    <row r="1117" spans="1:18" x14ac:dyDescent="0.2">
      <c r="A1117" s="1" t="s">
        <v>131</v>
      </c>
      <c r="B1117" s="1" t="s">
        <v>10</v>
      </c>
      <c r="C1117" s="2">
        <v>41155</v>
      </c>
      <c r="D1117" s="1">
        <v>10</v>
      </c>
      <c r="E1117" s="1" t="s">
        <v>34</v>
      </c>
      <c r="I1117" s="1" t="s">
        <v>12</v>
      </c>
      <c r="J1117" s="1" t="s">
        <v>40</v>
      </c>
      <c r="K1117" s="1" t="s">
        <v>14</v>
      </c>
      <c r="L1117" s="1" t="s">
        <v>12</v>
      </c>
      <c r="M1117" s="1" t="s">
        <v>12</v>
      </c>
      <c r="N1117" s="1">
        <v>21.12</v>
      </c>
      <c r="O1117" s="1" t="s">
        <v>32</v>
      </c>
      <c r="P1117" s="1" t="s">
        <v>28</v>
      </c>
      <c r="Q1117" s="1" t="s">
        <v>16</v>
      </c>
      <c r="R1117" s="1" t="str">
        <f>IF(N1117="","",VLOOKUP(N1117,Prior_levels,2,TRUE))</f>
        <v>L</v>
      </c>
    </row>
    <row r="1118" spans="1:18" x14ac:dyDescent="0.2">
      <c r="A1118" s="1" t="s">
        <v>132</v>
      </c>
      <c r="B1118" s="1" t="s">
        <v>10</v>
      </c>
      <c r="C1118" s="2">
        <v>41155</v>
      </c>
      <c r="D1118" s="1">
        <v>10</v>
      </c>
      <c r="E1118" s="1" t="s">
        <v>39</v>
      </c>
      <c r="I1118" s="1" t="s">
        <v>12</v>
      </c>
      <c r="J1118" s="1" t="s">
        <v>40</v>
      </c>
      <c r="K1118" s="1" t="s">
        <v>14</v>
      </c>
      <c r="L1118" s="1" t="s">
        <v>12</v>
      </c>
      <c r="M1118" s="1" t="s">
        <v>12</v>
      </c>
      <c r="N1118" s="1">
        <v>27.12</v>
      </c>
      <c r="O1118" s="1" t="s">
        <v>15</v>
      </c>
      <c r="P1118" s="1">
        <v>4.5</v>
      </c>
      <c r="Q1118" s="1" t="s">
        <v>16</v>
      </c>
      <c r="R1118" s="1" t="str">
        <f>IF(N1118="","",VLOOKUP(N1118,Prior_levels,2,TRUE))</f>
        <v>M</v>
      </c>
    </row>
    <row r="1119" spans="1:18" x14ac:dyDescent="0.2">
      <c r="A1119" s="1" t="s">
        <v>132</v>
      </c>
      <c r="B1119" s="1" t="s">
        <v>10</v>
      </c>
      <c r="C1119" s="2">
        <v>41155</v>
      </c>
      <c r="D1119" s="1">
        <v>10</v>
      </c>
      <c r="E1119" s="1" t="s">
        <v>39</v>
      </c>
      <c r="I1119" s="1" t="s">
        <v>12</v>
      </c>
      <c r="J1119" s="1" t="s">
        <v>40</v>
      </c>
      <c r="K1119" s="1" t="s">
        <v>14</v>
      </c>
      <c r="L1119" s="1" t="s">
        <v>12</v>
      </c>
      <c r="M1119" s="1" t="s">
        <v>12</v>
      </c>
      <c r="N1119" s="1">
        <v>27.12</v>
      </c>
      <c r="O1119" s="1" t="s">
        <v>17</v>
      </c>
      <c r="P1119" s="1">
        <v>-0.05</v>
      </c>
      <c r="Q1119" s="1" t="s">
        <v>16</v>
      </c>
      <c r="R1119" s="1" t="str">
        <f>IF(N1119="","",VLOOKUP(N1119,Prior_levels,2,TRUE))</f>
        <v>M</v>
      </c>
    </row>
    <row r="1120" spans="1:18" x14ac:dyDescent="0.2">
      <c r="A1120" s="1" t="s">
        <v>132</v>
      </c>
      <c r="B1120" s="1" t="s">
        <v>10</v>
      </c>
      <c r="C1120" s="2">
        <v>41155</v>
      </c>
      <c r="D1120" s="1">
        <v>10</v>
      </c>
      <c r="E1120" s="1" t="s">
        <v>39</v>
      </c>
      <c r="I1120" s="1" t="s">
        <v>12</v>
      </c>
      <c r="J1120" s="1" t="s">
        <v>40</v>
      </c>
      <c r="K1120" s="1" t="s">
        <v>14</v>
      </c>
      <c r="L1120" s="1" t="s">
        <v>12</v>
      </c>
      <c r="M1120" s="1" t="s">
        <v>12</v>
      </c>
      <c r="N1120" s="1">
        <v>27.12</v>
      </c>
      <c r="O1120" s="1" t="s">
        <v>18</v>
      </c>
      <c r="P1120" s="1">
        <v>10</v>
      </c>
      <c r="Q1120" s="1" t="s">
        <v>16</v>
      </c>
      <c r="R1120" s="1" t="str">
        <f>IF(N1120="","",VLOOKUP(N1120,Prior_levels,2,TRUE))</f>
        <v>M</v>
      </c>
    </row>
    <row r="1121" spans="1:18" x14ac:dyDescent="0.2">
      <c r="A1121" s="1" t="s">
        <v>132</v>
      </c>
      <c r="B1121" s="1" t="s">
        <v>10</v>
      </c>
      <c r="C1121" s="2">
        <v>41155</v>
      </c>
      <c r="D1121" s="1">
        <v>10</v>
      </c>
      <c r="E1121" s="1" t="s">
        <v>39</v>
      </c>
      <c r="I1121" s="1" t="s">
        <v>12</v>
      </c>
      <c r="J1121" s="1" t="s">
        <v>40</v>
      </c>
      <c r="K1121" s="1" t="s">
        <v>14</v>
      </c>
      <c r="L1121" s="1" t="s">
        <v>12</v>
      </c>
      <c r="M1121" s="1" t="s">
        <v>12</v>
      </c>
      <c r="N1121" s="1">
        <v>27.12</v>
      </c>
      <c r="O1121" s="1" t="s">
        <v>19</v>
      </c>
      <c r="P1121" s="1">
        <v>10</v>
      </c>
      <c r="Q1121" s="1" t="s">
        <v>16</v>
      </c>
      <c r="R1121" s="1" t="str">
        <f>IF(N1121="","",VLOOKUP(N1121,Prior_levels,2,TRUE))</f>
        <v>M</v>
      </c>
    </row>
    <row r="1122" spans="1:18" x14ac:dyDescent="0.2">
      <c r="A1122" s="1" t="s">
        <v>132</v>
      </c>
      <c r="B1122" s="1" t="s">
        <v>10</v>
      </c>
      <c r="C1122" s="2">
        <v>41155</v>
      </c>
      <c r="D1122" s="1">
        <v>10</v>
      </c>
      <c r="E1122" s="1" t="s">
        <v>39</v>
      </c>
      <c r="I1122" s="1" t="s">
        <v>12</v>
      </c>
      <c r="J1122" s="1" t="s">
        <v>40</v>
      </c>
      <c r="K1122" s="1" t="s">
        <v>14</v>
      </c>
      <c r="L1122" s="1" t="s">
        <v>12</v>
      </c>
      <c r="M1122" s="1" t="s">
        <v>12</v>
      </c>
      <c r="N1122" s="1">
        <v>27.12</v>
      </c>
      <c r="O1122" s="1" t="s">
        <v>20</v>
      </c>
      <c r="P1122" s="1">
        <v>12</v>
      </c>
      <c r="Q1122" s="1" t="s">
        <v>16</v>
      </c>
      <c r="R1122" s="1" t="str">
        <f>IF(N1122="","",VLOOKUP(N1122,Prior_levels,2,TRUE))</f>
        <v>M</v>
      </c>
    </row>
    <row r="1123" spans="1:18" x14ac:dyDescent="0.2">
      <c r="A1123" s="1" t="s">
        <v>132</v>
      </c>
      <c r="B1123" s="1" t="s">
        <v>10</v>
      </c>
      <c r="C1123" s="2">
        <v>41155</v>
      </c>
      <c r="D1123" s="1">
        <v>10</v>
      </c>
      <c r="E1123" s="1" t="s">
        <v>39</v>
      </c>
      <c r="I1123" s="1" t="s">
        <v>12</v>
      </c>
      <c r="J1123" s="1" t="s">
        <v>40</v>
      </c>
      <c r="K1123" s="1" t="s">
        <v>14</v>
      </c>
      <c r="L1123" s="1" t="s">
        <v>12</v>
      </c>
      <c r="M1123" s="1" t="s">
        <v>12</v>
      </c>
      <c r="N1123" s="1">
        <v>27.12</v>
      </c>
      <c r="O1123" s="1" t="s">
        <v>21</v>
      </c>
      <c r="P1123" s="1">
        <v>13</v>
      </c>
      <c r="Q1123" s="1" t="s">
        <v>16</v>
      </c>
      <c r="R1123" s="1" t="str">
        <f>IF(N1123="","",VLOOKUP(N1123,Prior_levels,2,TRUE))</f>
        <v>M</v>
      </c>
    </row>
    <row r="1124" spans="1:18" x14ac:dyDescent="0.2">
      <c r="A1124" s="1" t="s">
        <v>132</v>
      </c>
      <c r="B1124" s="1" t="s">
        <v>10</v>
      </c>
      <c r="C1124" s="2">
        <v>41155</v>
      </c>
      <c r="D1124" s="1">
        <v>10</v>
      </c>
      <c r="E1124" s="1" t="s">
        <v>39</v>
      </c>
      <c r="I1124" s="1" t="s">
        <v>12</v>
      </c>
      <c r="J1124" s="1" t="s">
        <v>40</v>
      </c>
      <c r="K1124" s="1" t="s">
        <v>14</v>
      </c>
      <c r="L1124" s="1" t="s">
        <v>12</v>
      </c>
      <c r="M1124" s="1" t="s">
        <v>12</v>
      </c>
      <c r="N1124" s="1">
        <v>27.12</v>
      </c>
      <c r="O1124" s="1" t="s">
        <v>22</v>
      </c>
      <c r="P1124" s="1">
        <v>-0.05</v>
      </c>
      <c r="Q1124" s="1" t="s">
        <v>16</v>
      </c>
      <c r="R1124" s="1" t="str">
        <f>IF(N1124="","",VLOOKUP(N1124,Prior_levels,2,TRUE))</f>
        <v>M</v>
      </c>
    </row>
    <row r="1125" spans="1:18" x14ac:dyDescent="0.2">
      <c r="A1125" s="1" t="s">
        <v>132</v>
      </c>
      <c r="B1125" s="1" t="s">
        <v>10</v>
      </c>
      <c r="C1125" s="2">
        <v>41155</v>
      </c>
      <c r="D1125" s="1">
        <v>10</v>
      </c>
      <c r="E1125" s="1" t="s">
        <v>39</v>
      </c>
      <c r="I1125" s="1" t="s">
        <v>12</v>
      </c>
      <c r="J1125" s="1" t="s">
        <v>40</v>
      </c>
      <c r="K1125" s="1" t="s">
        <v>14</v>
      </c>
      <c r="L1125" s="1" t="s">
        <v>12</v>
      </c>
      <c r="M1125" s="1" t="s">
        <v>12</v>
      </c>
      <c r="N1125" s="1">
        <v>27.12</v>
      </c>
      <c r="O1125" s="1" t="s">
        <v>23</v>
      </c>
      <c r="P1125" s="1">
        <v>0.36</v>
      </c>
      <c r="Q1125" s="1" t="s">
        <v>16</v>
      </c>
      <c r="R1125" s="1" t="str">
        <f>IF(N1125="","",VLOOKUP(N1125,Prior_levels,2,TRUE))</f>
        <v>M</v>
      </c>
    </row>
    <row r="1126" spans="1:18" x14ac:dyDescent="0.2">
      <c r="A1126" s="1" t="s">
        <v>132</v>
      </c>
      <c r="B1126" s="1" t="s">
        <v>10</v>
      </c>
      <c r="C1126" s="2">
        <v>41155</v>
      </c>
      <c r="D1126" s="1">
        <v>10</v>
      </c>
      <c r="E1126" s="1" t="s">
        <v>39</v>
      </c>
      <c r="I1126" s="1" t="s">
        <v>12</v>
      </c>
      <c r="J1126" s="1" t="s">
        <v>40</v>
      </c>
      <c r="K1126" s="1" t="s">
        <v>14</v>
      </c>
      <c r="L1126" s="1" t="s">
        <v>12</v>
      </c>
      <c r="M1126" s="1" t="s">
        <v>12</v>
      </c>
      <c r="N1126" s="1">
        <v>27.12</v>
      </c>
      <c r="O1126" s="1" t="s">
        <v>25</v>
      </c>
      <c r="P1126" s="1">
        <v>-1.89</v>
      </c>
      <c r="Q1126" s="1" t="s">
        <v>16</v>
      </c>
      <c r="R1126" s="1" t="str">
        <f>IF(N1126="","",VLOOKUP(N1126,Prior_levels,2,TRUE))</f>
        <v>M</v>
      </c>
    </row>
    <row r="1127" spans="1:18" x14ac:dyDescent="0.2">
      <c r="A1127" s="1" t="s">
        <v>132</v>
      </c>
      <c r="B1127" s="1" t="s">
        <v>10</v>
      </c>
      <c r="C1127" s="2">
        <v>41155</v>
      </c>
      <c r="D1127" s="1">
        <v>10</v>
      </c>
      <c r="E1127" s="1" t="s">
        <v>39</v>
      </c>
      <c r="I1127" s="1" t="s">
        <v>12</v>
      </c>
      <c r="J1127" s="1" t="s">
        <v>40</v>
      </c>
      <c r="K1127" s="1" t="s">
        <v>14</v>
      </c>
      <c r="L1127" s="1" t="s">
        <v>12</v>
      </c>
      <c r="M1127" s="1" t="s">
        <v>12</v>
      </c>
      <c r="N1127" s="1">
        <v>27.12</v>
      </c>
      <c r="O1127" s="1" t="s">
        <v>26</v>
      </c>
      <c r="P1127" s="1">
        <v>9</v>
      </c>
      <c r="Q1127" s="1" t="s">
        <v>16</v>
      </c>
      <c r="R1127" s="1" t="str">
        <f>IF(N1127="","",VLOOKUP(N1127,Prior_levels,2,TRUE))</f>
        <v>M</v>
      </c>
    </row>
    <row r="1128" spans="1:18" x14ac:dyDescent="0.2">
      <c r="A1128" s="1" t="s">
        <v>132</v>
      </c>
      <c r="B1128" s="1" t="s">
        <v>10</v>
      </c>
      <c r="C1128" s="2">
        <v>41155</v>
      </c>
      <c r="D1128" s="1">
        <v>10</v>
      </c>
      <c r="E1128" s="1" t="s">
        <v>39</v>
      </c>
      <c r="I1128" s="1" t="s">
        <v>12</v>
      </c>
      <c r="J1128" s="1" t="s">
        <v>40</v>
      </c>
      <c r="K1128" s="1" t="s">
        <v>14</v>
      </c>
      <c r="L1128" s="1" t="s">
        <v>12</v>
      </c>
      <c r="M1128" s="1" t="s">
        <v>12</v>
      </c>
      <c r="N1128" s="1">
        <v>27.12</v>
      </c>
      <c r="O1128" s="1" t="s">
        <v>24</v>
      </c>
      <c r="P1128" s="1">
        <v>0.75</v>
      </c>
      <c r="Q1128" s="1" t="s">
        <v>16</v>
      </c>
      <c r="R1128" s="1" t="str">
        <f>IF(N1128="","",VLOOKUP(N1128,Prior_levels,2,TRUE))</f>
        <v>M</v>
      </c>
    </row>
    <row r="1129" spans="1:18" x14ac:dyDescent="0.2">
      <c r="A1129" s="1" t="s">
        <v>132</v>
      </c>
      <c r="B1129" s="1" t="s">
        <v>10</v>
      </c>
      <c r="C1129" s="2">
        <v>41155</v>
      </c>
      <c r="D1129" s="1">
        <v>10</v>
      </c>
      <c r="E1129" s="1" t="s">
        <v>39</v>
      </c>
      <c r="I1129" s="1" t="s">
        <v>12</v>
      </c>
      <c r="J1129" s="1" t="s">
        <v>40</v>
      </c>
      <c r="K1129" s="1" t="s">
        <v>14</v>
      </c>
      <c r="L1129" s="1" t="s">
        <v>12</v>
      </c>
      <c r="M1129" s="1" t="s">
        <v>12</v>
      </c>
      <c r="N1129" s="1">
        <v>27.12</v>
      </c>
      <c r="O1129" s="1" t="s">
        <v>32</v>
      </c>
      <c r="P1129" s="1" t="s">
        <v>37</v>
      </c>
      <c r="Q1129" s="1" t="s">
        <v>16</v>
      </c>
      <c r="R1129" s="1" t="str">
        <f>IF(N1129="","",VLOOKUP(N1129,Prior_levels,2,TRUE))</f>
        <v>M</v>
      </c>
    </row>
    <row r="1130" spans="1:18" x14ac:dyDescent="0.2">
      <c r="A1130" s="1" t="s">
        <v>132</v>
      </c>
      <c r="B1130" s="1" t="s">
        <v>10</v>
      </c>
      <c r="C1130" s="2">
        <v>41155</v>
      </c>
      <c r="D1130" s="1">
        <v>10</v>
      </c>
      <c r="E1130" s="1" t="s">
        <v>39</v>
      </c>
      <c r="I1130" s="1" t="s">
        <v>12</v>
      </c>
      <c r="J1130" s="1" t="s">
        <v>40</v>
      </c>
      <c r="K1130" s="1" t="s">
        <v>14</v>
      </c>
      <c r="L1130" s="1" t="s">
        <v>12</v>
      </c>
      <c r="M1130" s="1" t="s">
        <v>12</v>
      </c>
      <c r="N1130" s="1">
        <v>27.12</v>
      </c>
      <c r="O1130" s="1" t="s">
        <v>27</v>
      </c>
      <c r="P1130" s="1" t="s">
        <v>37</v>
      </c>
      <c r="Q1130" s="1" t="s">
        <v>16</v>
      </c>
      <c r="R1130" s="1" t="str">
        <f>IF(N1130="","",VLOOKUP(N1130,Prior_levels,2,TRUE))</f>
        <v>M</v>
      </c>
    </row>
    <row r="1131" spans="1:18" x14ac:dyDescent="0.2">
      <c r="A1131" s="1" t="s">
        <v>132</v>
      </c>
      <c r="B1131" s="1" t="s">
        <v>10</v>
      </c>
      <c r="C1131" s="2">
        <v>41155</v>
      </c>
      <c r="D1131" s="1">
        <v>10</v>
      </c>
      <c r="E1131" s="1" t="s">
        <v>39</v>
      </c>
      <c r="I1131" s="1" t="s">
        <v>12</v>
      </c>
      <c r="J1131" s="1" t="s">
        <v>40</v>
      </c>
      <c r="K1131" s="1" t="s">
        <v>14</v>
      </c>
      <c r="L1131" s="1" t="s">
        <v>12</v>
      </c>
      <c r="M1131" s="1" t="s">
        <v>12</v>
      </c>
      <c r="N1131" s="1">
        <v>27.12</v>
      </c>
      <c r="O1131" s="1" t="s">
        <v>29</v>
      </c>
      <c r="P1131" s="1" t="s">
        <v>37</v>
      </c>
      <c r="Q1131" s="1" t="s">
        <v>16</v>
      </c>
      <c r="R1131" s="1" t="str">
        <f>IF(N1131="","",VLOOKUP(N1131,Prior_levels,2,TRUE))</f>
        <v>M</v>
      </c>
    </row>
    <row r="1132" spans="1:18" x14ac:dyDescent="0.2">
      <c r="A1132" s="1" t="s">
        <v>132</v>
      </c>
      <c r="B1132" s="1" t="s">
        <v>10</v>
      </c>
      <c r="C1132" s="2">
        <v>41155</v>
      </c>
      <c r="D1132" s="1">
        <v>10</v>
      </c>
      <c r="E1132" s="1" t="s">
        <v>39</v>
      </c>
      <c r="I1132" s="1" t="s">
        <v>12</v>
      </c>
      <c r="J1132" s="1" t="s">
        <v>40</v>
      </c>
      <c r="K1132" s="1" t="s">
        <v>14</v>
      </c>
      <c r="L1132" s="1" t="s">
        <v>12</v>
      </c>
      <c r="M1132" s="1" t="s">
        <v>12</v>
      </c>
      <c r="N1132" s="1">
        <v>27.12</v>
      </c>
      <c r="O1132" s="1" t="s">
        <v>30</v>
      </c>
      <c r="P1132" s="1" t="s">
        <v>37</v>
      </c>
      <c r="Q1132" s="1" t="s">
        <v>16</v>
      </c>
      <c r="R1132" s="1" t="str">
        <f>IF(N1132="","",VLOOKUP(N1132,Prior_levels,2,TRUE))</f>
        <v>M</v>
      </c>
    </row>
    <row r="1133" spans="1:18" x14ac:dyDescent="0.2">
      <c r="A1133" s="1" t="s">
        <v>132</v>
      </c>
      <c r="B1133" s="1" t="s">
        <v>10</v>
      </c>
      <c r="C1133" s="2">
        <v>41155</v>
      </c>
      <c r="D1133" s="1">
        <v>10</v>
      </c>
      <c r="E1133" s="1" t="s">
        <v>39</v>
      </c>
      <c r="I1133" s="1" t="s">
        <v>12</v>
      </c>
      <c r="J1133" s="1" t="s">
        <v>40</v>
      </c>
      <c r="K1133" s="1" t="s">
        <v>14</v>
      </c>
      <c r="L1133" s="1" t="s">
        <v>12</v>
      </c>
      <c r="M1133" s="1" t="s">
        <v>12</v>
      </c>
      <c r="N1133" s="1">
        <v>27.12</v>
      </c>
      <c r="O1133" s="1" t="s">
        <v>31</v>
      </c>
      <c r="P1133" s="1" t="s">
        <v>28</v>
      </c>
      <c r="Q1133" s="1" t="s">
        <v>16</v>
      </c>
      <c r="R1133" s="1" t="str">
        <f>IF(N1133="","",VLOOKUP(N1133,Prior_levels,2,TRUE))</f>
        <v>M</v>
      </c>
    </row>
    <row r="1134" spans="1:18" x14ac:dyDescent="0.2">
      <c r="A1134" s="1" t="s">
        <v>133</v>
      </c>
      <c r="B1134" s="1" t="s">
        <v>10</v>
      </c>
      <c r="C1134" s="2">
        <v>41155</v>
      </c>
      <c r="D1134" s="1">
        <v>10</v>
      </c>
      <c r="E1134" s="1" t="s">
        <v>52</v>
      </c>
      <c r="I1134" s="1" t="s">
        <v>12</v>
      </c>
      <c r="J1134" s="1" t="s">
        <v>134</v>
      </c>
      <c r="K1134" s="1" t="s">
        <v>14</v>
      </c>
      <c r="L1134" s="1" t="s">
        <v>12</v>
      </c>
      <c r="M1134" s="1" t="s">
        <v>12</v>
      </c>
      <c r="N1134" s="1">
        <v>27.12</v>
      </c>
      <c r="O1134" s="1" t="s">
        <v>15</v>
      </c>
      <c r="P1134" s="1">
        <v>5.5</v>
      </c>
      <c r="Q1134" s="1" t="s">
        <v>16</v>
      </c>
      <c r="R1134" s="1" t="str">
        <f>IF(N1134="","",VLOOKUP(N1134,Prior_levels,2,TRUE))</f>
        <v>M</v>
      </c>
    </row>
    <row r="1135" spans="1:18" x14ac:dyDescent="0.2">
      <c r="A1135" s="1" t="s">
        <v>133</v>
      </c>
      <c r="B1135" s="1" t="s">
        <v>10</v>
      </c>
      <c r="C1135" s="2">
        <v>41155</v>
      </c>
      <c r="D1135" s="1">
        <v>10</v>
      </c>
      <c r="E1135" s="1" t="s">
        <v>52</v>
      </c>
      <c r="I1135" s="1" t="s">
        <v>12</v>
      </c>
      <c r="J1135" s="1" t="s">
        <v>134</v>
      </c>
      <c r="K1135" s="1" t="s">
        <v>14</v>
      </c>
      <c r="L1135" s="1" t="s">
        <v>12</v>
      </c>
      <c r="M1135" s="1" t="s">
        <v>12</v>
      </c>
      <c r="N1135" s="1">
        <v>27.12</v>
      </c>
      <c r="O1135" s="1" t="s">
        <v>17</v>
      </c>
      <c r="P1135" s="1">
        <v>0.95</v>
      </c>
      <c r="Q1135" s="1" t="s">
        <v>16</v>
      </c>
      <c r="R1135" s="1" t="str">
        <f>IF(N1135="","",VLOOKUP(N1135,Prior_levels,2,TRUE))</f>
        <v>M</v>
      </c>
    </row>
    <row r="1136" spans="1:18" x14ac:dyDescent="0.2">
      <c r="A1136" s="1" t="s">
        <v>133</v>
      </c>
      <c r="B1136" s="1" t="s">
        <v>10</v>
      </c>
      <c r="C1136" s="2">
        <v>41155</v>
      </c>
      <c r="D1136" s="1">
        <v>10</v>
      </c>
      <c r="E1136" s="1" t="s">
        <v>52</v>
      </c>
      <c r="I1136" s="1" t="s">
        <v>12</v>
      </c>
      <c r="J1136" s="1" t="s">
        <v>134</v>
      </c>
      <c r="K1136" s="1" t="s">
        <v>14</v>
      </c>
      <c r="L1136" s="1" t="s">
        <v>12</v>
      </c>
      <c r="M1136" s="1" t="s">
        <v>12</v>
      </c>
      <c r="N1136" s="1">
        <v>27.12</v>
      </c>
      <c r="O1136" s="1" t="s">
        <v>18</v>
      </c>
      <c r="P1136" s="1">
        <v>10</v>
      </c>
      <c r="Q1136" s="1" t="s">
        <v>16</v>
      </c>
      <c r="R1136" s="1" t="str">
        <f>IF(N1136="","",VLOOKUP(N1136,Prior_levels,2,TRUE))</f>
        <v>M</v>
      </c>
    </row>
    <row r="1137" spans="1:18" x14ac:dyDescent="0.2">
      <c r="A1137" s="1" t="s">
        <v>133</v>
      </c>
      <c r="B1137" s="1" t="s">
        <v>10</v>
      </c>
      <c r="C1137" s="2">
        <v>41155</v>
      </c>
      <c r="D1137" s="1">
        <v>10</v>
      </c>
      <c r="E1137" s="1" t="s">
        <v>52</v>
      </c>
      <c r="I1137" s="1" t="s">
        <v>12</v>
      </c>
      <c r="J1137" s="1" t="s">
        <v>134</v>
      </c>
      <c r="K1137" s="1" t="s">
        <v>14</v>
      </c>
      <c r="L1137" s="1" t="s">
        <v>12</v>
      </c>
      <c r="M1137" s="1" t="s">
        <v>12</v>
      </c>
      <c r="N1137" s="1">
        <v>27.12</v>
      </c>
      <c r="O1137" s="1" t="s">
        <v>19</v>
      </c>
      <c r="P1137" s="1">
        <v>12</v>
      </c>
      <c r="Q1137" s="1" t="s">
        <v>16</v>
      </c>
      <c r="R1137" s="1" t="str">
        <f>IF(N1137="","",VLOOKUP(N1137,Prior_levels,2,TRUE))</f>
        <v>M</v>
      </c>
    </row>
    <row r="1138" spans="1:18" x14ac:dyDescent="0.2">
      <c r="A1138" s="1" t="s">
        <v>133</v>
      </c>
      <c r="B1138" s="1" t="s">
        <v>10</v>
      </c>
      <c r="C1138" s="2">
        <v>41155</v>
      </c>
      <c r="D1138" s="1">
        <v>10</v>
      </c>
      <c r="E1138" s="1" t="s">
        <v>52</v>
      </c>
      <c r="I1138" s="1" t="s">
        <v>12</v>
      </c>
      <c r="J1138" s="1" t="s">
        <v>134</v>
      </c>
      <c r="K1138" s="1" t="s">
        <v>14</v>
      </c>
      <c r="L1138" s="1" t="s">
        <v>12</v>
      </c>
      <c r="M1138" s="1" t="s">
        <v>12</v>
      </c>
      <c r="N1138" s="1">
        <v>27.12</v>
      </c>
      <c r="O1138" s="1" t="s">
        <v>20</v>
      </c>
      <c r="P1138" s="1">
        <v>16.5</v>
      </c>
      <c r="Q1138" s="1" t="s">
        <v>16</v>
      </c>
      <c r="R1138" s="1" t="str">
        <f>IF(N1138="","",VLOOKUP(N1138,Prior_levels,2,TRUE))</f>
        <v>M</v>
      </c>
    </row>
    <row r="1139" spans="1:18" x14ac:dyDescent="0.2">
      <c r="A1139" s="1" t="s">
        <v>133</v>
      </c>
      <c r="B1139" s="1" t="s">
        <v>10</v>
      </c>
      <c r="C1139" s="2">
        <v>41155</v>
      </c>
      <c r="D1139" s="1">
        <v>10</v>
      </c>
      <c r="E1139" s="1" t="s">
        <v>52</v>
      </c>
      <c r="I1139" s="1" t="s">
        <v>12</v>
      </c>
      <c r="J1139" s="1" t="s">
        <v>134</v>
      </c>
      <c r="K1139" s="1" t="s">
        <v>14</v>
      </c>
      <c r="L1139" s="1" t="s">
        <v>12</v>
      </c>
      <c r="M1139" s="1" t="s">
        <v>12</v>
      </c>
      <c r="N1139" s="1">
        <v>27.12</v>
      </c>
      <c r="O1139" s="1" t="s">
        <v>21</v>
      </c>
      <c r="P1139" s="1">
        <v>16.5</v>
      </c>
      <c r="Q1139" s="1" t="s">
        <v>16</v>
      </c>
      <c r="R1139" s="1" t="str">
        <f>IF(N1139="","",VLOOKUP(N1139,Prior_levels,2,TRUE))</f>
        <v>M</v>
      </c>
    </row>
    <row r="1140" spans="1:18" x14ac:dyDescent="0.2">
      <c r="A1140" s="1" t="s">
        <v>133</v>
      </c>
      <c r="B1140" s="1" t="s">
        <v>10</v>
      </c>
      <c r="C1140" s="2">
        <v>41155</v>
      </c>
      <c r="D1140" s="1">
        <v>10</v>
      </c>
      <c r="E1140" s="1" t="s">
        <v>52</v>
      </c>
      <c r="I1140" s="1" t="s">
        <v>12</v>
      </c>
      <c r="J1140" s="1" t="s">
        <v>134</v>
      </c>
      <c r="K1140" s="1" t="s">
        <v>14</v>
      </c>
      <c r="L1140" s="1" t="s">
        <v>12</v>
      </c>
      <c r="M1140" s="1" t="s">
        <v>12</v>
      </c>
      <c r="N1140" s="1">
        <v>27.12</v>
      </c>
      <c r="O1140" s="1" t="s">
        <v>22</v>
      </c>
      <c r="P1140" s="1">
        <v>-0.05</v>
      </c>
      <c r="Q1140" s="1" t="s">
        <v>16</v>
      </c>
      <c r="R1140" s="1" t="str">
        <f>IF(N1140="","",VLOOKUP(N1140,Prior_levels,2,TRUE))</f>
        <v>M</v>
      </c>
    </row>
    <row r="1141" spans="1:18" x14ac:dyDescent="0.2">
      <c r="A1141" s="1" t="s">
        <v>133</v>
      </c>
      <c r="B1141" s="1" t="s">
        <v>10</v>
      </c>
      <c r="C1141" s="2">
        <v>41155</v>
      </c>
      <c r="D1141" s="1">
        <v>10</v>
      </c>
      <c r="E1141" s="1" t="s">
        <v>52</v>
      </c>
      <c r="I1141" s="1" t="s">
        <v>12</v>
      </c>
      <c r="J1141" s="1" t="s">
        <v>134</v>
      </c>
      <c r="K1141" s="1" t="s">
        <v>14</v>
      </c>
      <c r="L1141" s="1" t="s">
        <v>12</v>
      </c>
      <c r="M1141" s="1" t="s">
        <v>12</v>
      </c>
      <c r="N1141" s="1">
        <v>27.12</v>
      </c>
      <c r="O1141" s="1" t="s">
        <v>23</v>
      </c>
      <c r="P1141" s="1">
        <v>1.36</v>
      </c>
      <c r="Q1141" s="1" t="s">
        <v>16</v>
      </c>
      <c r="R1141" s="1" t="str">
        <f>IF(N1141="","",VLOOKUP(N1141,Prior_levels,2,TRUE))</f>
        <v>M</v>
      </c>
    </row>
    <row r="1142" spans="1:18" x14ac:dyDescent="0.2">
      <c r="A1142" s="1" t="s">
        <v>133</v>
      </c>
      <c r="B1142" s="1" t="s">
        <v>10</v>
      </c>
      <c r="C1142" s="2">
        <v>41155</v>
      </c>
      <c r="D1142" s="1">
        <v>10</v>
      </c>
      <c r="E1142" s="1" t="s">
        <v>52</v>
      </c>
      <c r="I1142" s="1" t="s">
        <v>12</v>
      </c>
      <c r="J1142" s="1" t="s">
        <v>134</v>
      </c>
      <c r="K1142" s="1" t="s">
        <v>14</v>
      </c>
      <c r="L1142" s="1" t="s">
        <v>12</v>
      </c>
      <c r="M1142" s="1" t="s">
        <v>12</v>
      </c>
      <c r="N1142" s="1">
        <v>27.12</v>
      </c>
      <c r="O1142" s="1" t="s">
        <v>24</v>
      </c>
      <c r="P1142" s="1">
        <v>5.25</v>
      </c>
      <c r="Q1142" s="1" t="s">
        <v>16</v>
      </c>
      <c r="R1142" s="1" t="str">
        <f>IF(N1142="","",VLOOKUP(N1142,Prior_levels,2,TRUE))</f>
        <v>M</v>
      </c>
    </row>
    <row r="1143" spans="1:18" x14ac:dyDescent="0.2">
      <c r="A1143" s="1" t="s">
        <v>133</v>
      </c>
      <c r="B1143" s="1" t="s">
        <v>10</v>
      </c>
      <c r="C1143" s="2">
        <v>41155</v>
      </c>
      <c r="D1143" s="1">
        <v>10</v>
      </c>
      <c r="E1143" s="1" t="s">
        <v>52</v>
      </c>
      <c r="I1143" s="1" t="s">
        <v>12</v>
      </c>
      <c r="J1143" s="1" t="s">
        <v>134</v>
      </c>
      <c r="K1143" s="1" t="s">
        <v>14</v>
      </c>
      <c r="L1143" s="1" t="s">
        <v>12</v>
      </c>
      <c r="M1143" s="1" t="s">
        <v>12</v>
      </c>
      <c r="N1143" s="1">
        <v>27.12</v>
      </c>
      <c r="O1143" s="1" t="s">
        <v>25</v>
      </c>
      <c r="P1143" s="1">
        <v>1.61</v>
      </c>
      <c r="Q1143" s="1" t="s">
        <v>16</v>
      </c>
      <c r="R1143" s="1" t="str">
        <f>IF(N1143="","",VLOOKUP(N1143,Prior_levels,2,TRUE))</f>
        <v>M</v>
      </c>
    </row>
    <row r="1144" spans="1:18" x14ac:dyDescent="0.2">
      <c r="A1144" s="1" t="s">
        <v>133</v>
      </c>
      <c r="B1144" s="1" t="s">
        <v>10</v>
      </c>
      <c r="C1144" s="2">
        <v>41155</v>
      </c>
      <c r="D1144" s="1">
        <v>10</v>
      </c>
      <c r="E1144" s="1" t="s">
        <v>52</v>
      </c>
      <c r="I1144" s="1" t="s">
        <v>12</v>
      </c>
      <c r="J1144" s="1" t="s">
        <v>134</v>
      </c>
      <c r="K1144" s="1" t="s">
        <v>14</v>
      </c>
      <c r="L1144" s="1" t="s">
        <v>12</v>
      </c>
      <c r="M1144" s="1" t="s">
        <v>12</v>
      </c>
      <c r="N1144" s="1">
        <v>27.12</v>
      </c>
      <c r="O1144" s="1" t="s">
        <v>26</v>
      </c>
      <c r="P1144" s="1">
        <v>10</v>
      </c>
      <c r="Q1144" s="1" t="s">
        <v>16</v>
      </c>
      <c r="R1144" s="1" t="str">
        <f>IF(N1144="","",VLOOKUP(N1144,Prior_levels,2,TRUE))</f>
        <v>M</v>
      </c>
    </row>
    <row r="1145" spans="1:18" x14ac:dyDescent="0.2">
      <c r="A1145" s="1" t="s">
        <v>133</v>
      </c>
      <c r="B1145" s="1" t="s">
        <v>10</v>
      </c>
      <c r="C1145" s="2">
        <v>41155</v>
      </c>
      <c r="D1145" s="1">
        <v>10</v>
      </c>
      <c r="E1145" s="1" t="s">
        <v>52</v>
      </c>
      <c r="I1145" s="1" t="s">
        <v>12</v>
      </c>
      <c r="J1145" s="1" t="s">
        <v>134</v>
      </c>
      <c r="K1145" s="1" t="s">
        <v>14</v>
      </c>
      <c r="L1145" s="1" t="s">
        <v>12</v>
      </c>
      <c r="M1145" s="1" t="s">
        <v>12</v>
      </c>
      <c r="N1145" s="1">
        <v>27.12</v>
      </c>
      <c r="O1145" s="1" t="s">
        <v>32</v>
      </c>
      <c r="P1145" s="1" t="s">
        <v>37</v>
      </c>
      <c r="Q1145" s="1" t="s">
        <v>16</v>
      </c>
      <c r="R1145" s="1" t="str">
        <f>IF(N1145="","",VLOOKUP(N1145,Prior_levels,2,TRUE))</f>
        <v>M</v>
      </c>
    </row>
    <row r="1146" spans="1:18" x14ac:dyDescent="0.2">
      <c r="A1146" s="1" t="s">
        <v>133</v>
      </c>
      <c r="B1146" s="1" t="s">
        <v>10</v>
      </c>
      <c r="C1146" s="2">
        <v>41155</v>
      </c>
      <c r="D1146" s="1">
        <v>10</v>
      </c>
      <c r="E1146" s="1" t="s">
        <v>52</v>
      </c>
      <c r="I1146" s="1" t="s">
        <v>12</v>
      </c>
      <c r="J1146" s="1" t="s">
        <v>134</v>
      </c>
      <c r="K1146" s="1" t="s">
        <v>14</v>
      </c>
      <c r="L1146" s="1" t="s">
        <v>12</v>
      </c>
      <c r="M1146" s="1" t="s">
        <v>12</v>
      </c>
      <c r="N1146" s="1">
        <v>27.12</v>
      </c>
      <c r="O1146" s="1" t="s">
        <v>27</v>
      </c>
      <c r="P1146" s="1" t="s">
        <v>37</v>
      </c>
      <c r="Q1146" s="1" t="s">
        <v>16</v>
      </c>
      <c r="R1146" s="1" t="str">
        <f>IF(N1146="","",VLOOKUP(N1146,Prior_levels,2,TRUE))</f>
        <v>M</v>
      </c>
    </row>
    <row r="1147" spans="1:18" x14ac:dyDescent="0.2">
      <c r="A1147" s="1" t="s">
        <v>133</v>
      </c>
      <c r="B1147" s="1" t="s">
        <v>10</v>
      </c>
      <c r="C1147" s="2">
        <v>41155</v>
      </c>
      <c r="D1147" s="1">
        <v>10</v>
      </c>
      <c r="E1147" s="1" t="s">
        <v>52</v>
      </c>
      <c r="I1147" s="1" t="s">
        <v>12</v>
      </c>
      <c r="J1147" s="1" t="s">
        <v>134</v>
      </c>
      <c r="K1147" s="1" t="s">
        <v>14</v>
      </c>
      <c r="L1147" s="1" t="s">
        <v>12</v>
      </c>
      <c r="M1147" s="1" t="s">
        <v>12</v>
      </c>
      <c r="N1147" s="1">
        <v>27.12</v>
      </c>
      <c r="O1147" s="1" t="s">
        <v>29</v>
      </c>
      <c r="P1147" s="1" t="s">
        <v>37</v>
      </c>
      <c r="Q1147" s="1" t="s">
        <v>16</v>
      </c>
      <c r="R1147" s="1" t="str">
        <f>IF(N1147="","",VLOOKUP(N1147,Prior_levels,2,TRUE))</f>
        <v>M</v>
      </c>
    </row>
    <row r="1148" spans="1:18" x14ac:dyDescent="0.2">
      <c r="A1148" s="1" t="s">
        <v>133</v>
      </c>
      <c r="B1148" s="1" t="s">
        <v>10</v>
      </c>
      <c r="C1148" s="2">
        <v>41155</v>
      </c>
      <c r="D1148" s="1">
        <v>10</v>
      </c>
      <c r="E1148" s="1" t="s">
        <v>52</v>
      </c>
      <c r="I1148" s="1" t="s">
        <v>12</v>
      </c>
      <c r="J1148" s="1" t="s">
        <v>134</v>
      </c>
      <c r="K1148" s="1" t="s">
        <v>14</v>
      </c>
      <c r="L1148" s="1" t="s">
        <v>12</v>
      </c>
      <c r="M1148" s="1" t="s">
        <v>12</v>
      </c>
      <c r="N1148" s="1">
        <v>27.12</v>
      </c>
      <c r="O1148" s="1" t="s">
        <v>30</v>
      </c>
      <c r="P1148" s="1" t="s">
        <v>37</v>
      </c>
      <c r="Q1148" s="1" t="s">
        <v>16</v>
      </c>
      <c r="R1148" s="1" t="str">
        <f>IF(N1148="","",VLOOKUP(N1148,Prior_levels,2,TRUE))</f>
        <v>M</v>
      </c>
    </row>
    <row r="1149" spans="1:18" x14ac:dyDescent="0.2">
      <c r="A1149" s="1" t="s">
        <v>133</v>
      </c>
      <c r="B1149" s="1" t="s">
        <v>10</v>
      </c>
      <c r="C1149" s="2">
        <v>41155</v>
      </c>
      <c r="D1149" s="1">
        <v>10</v>
      </c>
      <c r="E1149" s="1" t="s">
        <v>52</v>
      </c>
      <c r="I1149" s="1" t="s">
        <v>12</v>
      </c>
      <c r="J1149" s="1" t="s">
        <v>134</v>
      </c>
      <c r="K1149" s="1" t="s">
        <v>14</v>
      </c>
      <c r="L1149" s="1" t="s">
        <v>12</v>
      </c>
      <c r="M1149" s="1" t="s">
        <v>12</v>
      </c>
      <c r="N1149" s="1">
        <v>27.12</v>
      </c>
      <c r="O1149" s="1" t="s">
        <v>31</v>
      </c>
      <c r="P1149" s="1" t="s">
        <v>37</v>
      </c>
      <c r="Q1149" s="1" t="s">
        <v>16</v>
      </c>
      <c r="R1149" s="1" t="str">
        <f>IF(N1149="","",VLOOKUP(N1149,Prior_levels,2,TRUE))</f>
        <v>M</v>
      </c>
    </row>
    <row r="1150" spans="1:18" x14ac:dyDescent="0.2">
      <c r="A1150" s="1" t="s">
        <v>135</v>
      </c>
      <c r="B1150" s="1" t="s">
        <v>10</v>
      </c>
      <c r="C1150" s="2">
        <v>41155</v>
      </c>
      <c r="D1150" s="1">
        <v>10</v>
      </c>
      <c r="E1150" s="1" t="s">
        <v>52</v>
      </c>
      <c r="F1150" s="1" t="s">
        <v>28</v>
      </c>
      <c r="H1150" s="1" t="s">
        <v>48</v>
      </c>
      <c r="I1150" s="1" t="s">
        <v>12</v>
      </c>
      <c r="J1150" s="1" t="s">
        <v>136</v>
      </c>
      <c r="K1150" s="1" t="s">
        <v>137</v>
      </c>
      <c r="L1150" s="1" t="s">
        <v>12</v>
      </c>
      <c r="M1150" s="1" t="s">
        <v>12</v>
      </c>
      <c r="N1150" s="1">
        <v>33.18</v>
      </c>
      <c r="O1150" s="1" t="s">
        <v>15</v>
      </c>
      <c r="P1150" s="1">
        <v>4.5</v>
      </c>
      <c r="Q1150" s="1" t="s">
        <v>16</v>
      </c>
      <c r="R1150" s="1" t="str">
        <f>IF(N1150="","",VLOOKUP(N1150,Prior_levels,2,TRUE))</f>
        <v>H</v>
      </c>
    </row>
    <row r="1151" spans="1:18" x14ac:dyDescent="0.2">
      <c r="A1151" s="1" t="s">
        <v>135</v>
      </c>
      <c r="B1151" s="1" t="s">
        <v>10</v>
      </c>
      <c r="C1151" s="2">
        <v>41155</v>
      </c>
      <c r="D1151" s="1">
        <v>10</v>
      </c>
      <c r="E1151" s="1" t="s">
        <v>52</v>
      </c>
      <c r="F1151" s="1" t="s">
        <v>28</v>
      </c>
      <c r="H1151" s="1" t="s">
        <v>48</v>
      </c>
      <c r="I1151" s="1" t="s">
        <v>12</v>
      </c>
      <c r="J1151" s="1" t="s">
        <v>136</v>
      </c>
      <c r="K1151" s="1" t="s">
        <v>137</v>
      </c>
      <c r="L1151" s="1" t="s">
        <v>12</v>
      </c>
      <c r="M1151" s="1" t="s">
        <v>12</v>
      </c>
      <c r="N1151" s="1">
        <v>33.18</v>
      </c>
      <c r="O1151" s="1" t="s">
        <v>17</v>
      </c>
      <c r="P1151" s="1">
        <v>-2.0499999999999998</v>
      </c>
      <c r="Q1151" s="1" t="s">
        <v>16</v>
      </c>
      <c r="R1151" s="1" t="str">
        <f>IF(N1151="","",VLOOKUP(N1151,Prior_levels,2,TRUE))</f>
        <v>H</v>
      </c>
    </row>
    <row r="1152" spans="1:18" x14ac:dyDescent="0.2">
      <c r="A1152" s="1" t="s">
        <v>135</v>
      </c>
      <c r="B1152" s="1" t="s">
        <v>10</v>
      </c>
      <c r="C1152" s="2">
        <v>41155</v>
      </c>
      <c r="D1152" s="1">
        <v>10</v>
      </c>
      <c r="E1152" s="1" t="s">
        <v>52</v>
      </c>
      <c r="F1152" s="1" t="s">
        <v>28</v>
      </c>
      <c r="H1152" s="1" t="s">
        <v>48</v>
      </c>
      <c r="I1152" s="1" t="s">
        <v>12</v>
      </c>
      <c r="J1152" s="1" t="s">
        <v>136</v>
      </c>
      <c r="K1152" s="1" t="s">
        <v>137</v>
      </c>
      <c r="L1152" s="1" t="s">
        <v>12</v>
      </c>
      <c r="M1152" s="1" t="s">
        <v>12</v>
      </c>
      <c r="N1152" s="1">
        <v>33.18</v>
      </c>
      <c r="O1152" s="1" t="s">
        <v>18</v>
      </c>
      <c r="P1152" s="1">
        <v>10</v>
      </c>
      <c r="Q1152" s="1" t="s">
        <v>16</v>
      </c>
      <c r="R1152" s="1" t="str">
        <f>IF(N1152="","",VLOOKUP(N1152,Prior_levels,2,TRUE))</f>
        <v>H</v>
      </c>
    </row>
    <row r="1153" spans="1:18" x14ac:dyDescent="0.2">
      <c r="A1153" s="1" t="s">
        <v>135</v>
      </c>
      <c r="B1153" s="1" t="s">
        <v>10</v>
      </c>
      <c r="C1153" s="2">
        <v>41155</v>
      </c>
      <c r="D1153" s="1">
        <v>10</v>
      </c>
      <c r="E1153" s="1" t="s">
        <v>52</v>
      </c>
      <c r="F1153" s="1" t="s">
        <v>28</v>
      </c>
      <c r="H1153" s="1" t="s">
        <v>48</v>
      </c>
      <c r="I1153" s="1" t="s">
        <v>12</v>
      </c>
      <c r="J1153" s="1" t="s">
        <v>136</v>
      </c>
      <c r="K1153" s="1" t="s">
        <v>137</v>
      </c>
      <c r="L1153" s="1" t="s">
        <v>12</v>
      </c>
      <c r="M1153" s="1" t="s">
        <v>12</v>
      </c>
      <c r="N1153" s="1">
        <v>33.18</v>
      </c>
      <c r="O1153" s="1" t="s">
        <v>19</v>
      </c>
      <c r="P1153" s="1">
        <v>10</v>
      </c>
      <c r="Q1153" s="1" t="s">
        <v>16</v>
      </c>
      <c r="R1153" s="1" t="str">
        <f>IF(N1153="","",VLOOKUP(N1153,Prior_levels,2,TRUE))</f>
        <v>H</v>
      </c>
    </row>
    <row r="1154" spans="1:18" x14ac:dyDescent="0.2">
      <c r="A1154" s="1" t="s">
        <v>135</v>
      </c>
      <c r="B1154" s="1" t="s">
        <v>10</v>
      </c>
      <c r="C1154" s="2">
        <v>41155</v>
      </c>
      <c r="D1154" s="1">
        <v>10</v>
      </c>
      <c r="E1154" s="1" t="s">
        <v>52</v>
      </c>
      <c r="F1154" s="1" t="s">
        <v>28</v>
      </c>
      <c r="H1154" s="1" t="s">
        <v>48</v>
      </c>
      <c r="I1154" s="1" t="s">
        <v>12</v>
      </c>
      <c r="J1154" s="1" t="s">
        <v>136</v>
      </c>
      <c r="K1154" s="1" t="s">
        <v>137</v>
      </c>
      <c r="L1154" s="1" t="s">
        <v>12</v>
      </c>
      <c r="M1154" s="1" t="s">
        <v>12</v>
      </c>
      <c r="N1154" s="1">
        <v>33.18</v>
      </c>
      <c r="O1154" s="1" t="s">
        <v>20</v>
      </c>
      <c r="P1154" s="1">
        <v>12</v>
      </c>
      <c r="Q1154" s="1" t="s">
        <v>16</v>
      </c>
      <c r="R1154" s="1" t="str">
        <f>IF(N1154="","",VLOOKUP(N1154,Prior_levels,2,TRUE))</f>
        <v>H</v>
      </c>
    </row>
    <row r="1155" spans="1:18" x14ac:dyDescent="0.2">
      <c r="A1155" s="1" t="s">
        <v>135</v>
      </c>
      <c r="B1155" s="1" t="s">
        <v>10</v>
      </c>
      <c r="C1155" s="2">
        <v>41155</v>
      </c>
      <c r="D1155" s="1">
        <v>10</v>
      </c>
      <c r="E1155" s="1" t="s">
        <v>52</v>
      </c>
      <c r="F1155" s="1" t="s">
        <v>28</v>
      </c>
      <c r="H1155" s="1" t="s">
        <v>48</v>
      </c>
      <c r="I1155" s="1" t="s">
        <v>12</v>
      </c>
      <c r="J1155" s="1" t="s">
        <v>136</v>
      </c>
      <c r="K1155" s="1" t="s">
        <v>137</v>
      </c>
      <c r="L1155" s="1" t="s">
        <v>12</v>
      </c>
      <c r="M1155" s="1" t="s">
        <v>12</v>
      </c>
      <c r="N1155" s="1">
        <v>33.18</v>
      </c>
      <c r="O1155" s="1" t="s">
        <v>21</v>
      </c>
      <c r="P1155" s="1">
        <v>13</v>
      </c>
      <c r="Q1155" s="1" t="s">
        <v>16</v>
      </c>
      <c r="R1155" s="1" t="str">
        <f>IF(N1155="","",VLOOKUP(N1155,Prior_levels,2,TRUE))</f>
        <v>H</v>
      </c>
    </row>
    <row r="1156" spans="1:18" x14ac:dyDescent="0.2">
      <c r="A1156" s="1" t="s">
        <v>135</v>
      </c>
      <c r="B1156" s="1" t="s">
        <v>10</v>
      </c>
      <c r="C1156" s="2">
        <v>41155</v>
      </c>
      <c r="D1156" s="1">
        <v>10</v>
      </c>
      <c r="E1156" s="1" t="s">
        <v>52</v>
      </c>
      <c r="F1156" s="1" t="s">
        <v>28</v>
      </c>
      <c r="H1156" s="1" t="s">
        <v>48</v>
      </c>
      <c r="I1156" s="1" t="s">
        <v>12</v>
      </c>
      <c r="J1156" s="1" t="s">
        <v>136</v>
      </c>
      <c r="K1156" s="1" t="s">
        <v>137</v>
      </c>
      <c r="L1156" s="1" t="s">
        <v>12</v>
      </c>
      <c r="M1156" s="1" t="s">
        <v>12</v>
      </c>
      <c r="N1156" s="1">
        <v>33.18</v>
      </c>
      <c r="O1156" s="1" t="s">
        <v>22</v>
      </c>
      <c r="P1156" s="1">
        <v>-1.64</v>
      </c>
      <c r="Q1156" s="1" t="s">
        <v>16</v>
      </c>
      <c r="R1156" s="1" t="str">
        <f>IF(N1156="","",VLOOKUP(N1156,Prior_levels,2,TRUE))</f>
        <v>H</v>
      </c>
    </row>
    <row r="1157" spans="1:18" x14ac:dyDescent="0.2">
      <c r="A1157" s="1" t="s">
        <v>135</v>
      </c>
      <c r="B1157" s="1" t="s">
        <v>10</v>
      </c>
      <c r="C1157" s="2">
        <v>41155</v>
      </c>
      <c r="D1157" s="1">
        <v>10</v>
      </c>
      <c r="E1157" s="1" t="s">
        <v>52</v>
      </c>
      <c r="F1157" s="1" t="s">
        <v>28</v>
      </c>
      <c r="H1157" s="1" t="s">
        <v>48</v>
      </c>
      <c r="I1157" s="1" t="s">
        <v>12</v>
      </c>
      <c r="J1157" s="1" t="s">
        <v>136</v>
      </c>
      <c r="K1157" s="1" t="s">
        <v>137</v>
      </c>
      <c r="L1157" s="1" t="s">
        <v>12</v>
      </c>
      <c r="M1157" s="1" t="s">
        <v>12</v>
      </c>
      <c r="N1157" s="1">
        <v>33.18</v>
      </c>
      <c r="O1157" s="1" t="s">
        <v>23</v>
      </c>
      <c r="P1157" s="1">
        <v>-1.66</v>
      </c>
      <c r="Q1157" s="1" t="s">
        <v>16</v>
      </c>
      <c r="R1157" s="1" t="str">
        <f>IF(N1157="","",VLOOKUP(N1157,Prior_levels,2,TRUE))</f>
        <v>H</v>
      </c>
    </row>
    <row r="1158" spans="1:18" x14ac:dyDescent="0.2">
      <c r="A1158" s="1" t="s">
        <v>135</v>
      </c>
      <c r="B1158" s="1" t="s">
        <v>10</v>
      </c>
      <c r="C1158" s="2">
        <v>41155</v>
      </c>
      <c r="D1158" s="1">
        <v>10</v>
      </c>
      <c r="E1158" s="1" t="s">
        <v>52</v>
      </c>
      <c r="F1158" s="1" t="s">
        <v>28</v>
      </c>
      <c r="H1158" s="1" t="s">
        <v>48</v>
      </c>
      <c r="I1158" s="1" t="s">
        <v>12</v>
      </c>
      <c r="J1158" s="1" t="s">
        <v>136</v>
      </c>
      <c r="K1158" s="1" t="s">
        <v>137</v>
      </c>
      <c r="L1158" s="1" t="s">
        <v>12</v>
      </c>
      <c r="M1158" s="1" t="s">
        <v>12</v>
      </c>
      <c r="N1158" s="1">
        <v>33.18</v>
      </c>
      <c r="O1158" s="1" t="s">
        <v>25</v>
      </c>
      <c r="P1158" s="1">
        <v>-6.62</v>
      </c>
      <c r="Q1158" s="1" t="s">
        <v>16</v>
      </c>
      <c r="R1158" s="1" t="str">
        <f>IF(N1158="","",VLOOKUP(N1158,Prior_levels,2,TRUE))</f>
        <v>H</v>
      </c>
    </row>
    <row r="1159" spans="1:18" x14ac:dyDescent="0.2">
      <c r="A1159" s="1" t="s">
        <v>135</v>
      </c>
      <c r="B1159" s="1" t="s">
        <v>10</v>
      </c>
      <c r="C1159" s="2">
        <v>41155</v>
      </c>
      <c r="D1159" s="1">
        <v>10</v>
      </c>
      <c r="E1159" s="1" t="s">
        <v>52</v>
      </c>
      <c r="F1159" s="1" t="s">
        <v>28</v>
      </c>
      <c r="H1159" s="1" t="s">
        <v>48</v>
      </c>
      <c r="I1159" s="1" t="s">
        <v>12</v>
      </c>
      <c r="J1159" s="1" t="s">
        <v>136</v>
      </c>
      <c r="K1159" s="1" t="s">
        <v>137</v>
      </c>
      <c r="L1159" s="1" t="s">
        <v>12</v>
      </c>
      <c r="M1159" s="1" t="s">
        <v>12</v>
      </c>
      <c r="N1159" s="1">
        <v>33.18</v>
      </c>
      <c r="O1159" s="1" t="s">
        <v>26</v>
      </c>
      <c r="P1159" s="1">
        <v>9</v>
      </c>
      <c r="Q1159" s="1" t="s">
        <v>16</v>
      </c>
      <c r="R1159" s="1" t="str">
        <f>IF(N1159="","",VLOOKUP(N1159,Prior_levels,2,TRUE))</f>
        <v>H</v>
      </c>
    </row>
    <row r="1160" spans="1:18" x14ac:dyDescent="0.2">
      <c r="A1160" s="1" t="s">
        <v>135</v>
      </c>
      <c r="B1160" s="1" t="s">
        <v>10</v>
      </c>
      <c r="C1160" s="2">
        <v>41155</v>
      </c>
      <c r="D1160" s="1">
        <v>10</v>
      </c>
      <c r="E1160" s="1" t="s">
        <v>52</v>
      </c>
      <c r="F1160" s="1" t="s">
        <v>28</v>
      </c>
      <c r="H1160" s="1" t="s">
        <v>48</v>
      </c>
      <c r="I1160" s="1" t="s">
        <v>12</v>
      </c>
      <c r="J1160" s="1" t="s">
        <v>136</v>
      </c>
      <c r="K1160" s="1" t="s">
        <v>137</v>
      </c>
      <c r="L1160" s="1" t="s">
        <v>12</v>
      </c>
      <c r="M1160" s="1" t="s">
        <v>12</v>
      </c>
      <c r="N1160" s="1">
        <v>33.18</v>
      </c>
      <c r="O1160" s="1" t="s">
        <v>24</v>
      </c>
      <c r="P1160" s="1">
        <v>-7.27</v>
      </c>
      <c r="Q1160" s="1" t="s">
        <v>16</v>
      </c>
      <c r="R1160" s="1" t="str">
        <f>IF(N1160="","",VLOOKUP(N1160,Prior_levels,2,TRUE))</f>
        <v>H</v>
      </c>
    </row>
    <row r="1161" spans="1:18" x14ac:dyDescent="0.2">
      <c r="A1161" s="1" t="s">
        <v>135</v>
      </c>
      <c r="B1161" s="1" t="s">
        <v>10</v>
      </c>
      <c r="C1161" s="2">
        <v>41155</v>
      </c>
      <c r="D1161" s="1">
        <v>10</v>
      </c>
      <c r="E1161" s="1" t="s">
        <v>52</v>
      </c>
      <c r="F1161" s="1" t="s">
        <v>28</v>
      </c>
      <c r="H1161" s="1" t="s">
        <v>48</v>
      </c>
      <c r="I1161" s="1" t="s">
        <v>12</v>
      </c>
      <c r="J1161" s="1" t="s">
        <v>136</v>
      </c>
      <c r="K1161" s="1" t="s">
        <v>137</v>
      </c>
      <c r="L1161" s="1" t="s">
        <v>12</v>
      </c>
      <c r="M1161" s="1" t="s">
        <v>12</v>
      </c>
      <c r="N1161" s="1">
        <v>33.18</v>
      </c>
      <c r="O1161" s="1" t="s">
        <v>27</v>
      </c>
      <c r="P1161" s="1" t="s">
        <v>37</v>
      </c>
      <c r="Q1161" s="1" t="s">
        <v>16</v>
      </c>
      <c r="R1161" s="1" t="str">
        <f>IF(N1161="","",VLOOKUP(N1161,Prior_levels,2,TRUE))</f>
        <v>H</v>
      </c>
    </row>
    <row r="1162" spans="1:18" x14ac:dyDescent="0.2">
      <c r="A1162" s="1" t="s">
        <v>135</v>
      </c>
      <c r="B1162" s="1" t="s">
        <v>10</v>
      </c>
      <c r="C1162" s="2">
        <v>41155</v>
      </c>
      <c r="D1162" s="1">
        <v>10</v>
      </c>
      <c r="E1162" s="1" t="s">
        <v>52</v>
      </c>
      <c r="F1162" s="1" t="s">
        <v>28</v>
      </c>
      <c r="H1162" s="1" t="s">
        <v>48</v>
      </c>
      <c r="I1162" s="1" t="s">
        <v>12</v>
      </c>
      <c r="J1162" s="1" t="s">
        <v>136</v>
      </c>
      <c r="K1162" s="1" t="s">
        <v>137</v>
      </c>
      <c r="L1162" s="1" t="s">
        <v>12</v>
      </c>
      <c r="M1162" s="1" t="s">
        <v>12</v>
      </c>
      <c r="N1162" s="1">
        <v>33.18</v>
      </c>
      <c r="O1162" s="1" t="s">
        <v>29</v>
      </c>
      <c r="P1162" s="1" t="s">
        <v>37</v>
      </c>
      <c r="Q1162" s="1" t="s">
        <v>16</v>
      </c>
      <c r="R1162" s="1" t="str">
        <f>IF(N1162="","",VLOOKUP(N1162,Prior_levels,2,TRUE))</f>
        <v>H</v>
      </c>
    </row>
    <row r="1163" spans="1:18" x14ac:dyDescent="0.2">
      <c r="A1163" s="1" t="s">
        <v>135</v>
      </c>
      <c r="B1163" s="1" t="s">
        <v>10</v>
      </c>
      <c r="C1163" s="2">
        <v>41155</v>
      </c>
      <c r="D1163" s="1">
        <v>10</v>
      </c>
      <c r="E1163" s="1" t="s">
        <v>52</v>
      </c>
      <c r="F1163" s="1" t="s">
        <v>28</v>
      </c>
      <c r="H1163" s="1" t="s">
        <v>48</v>
      </c>
      <c r="I1163" s="1" t="s">
        <v>12</v>
      </c>
      <c r="J1163" s="1" t="s">
        <v>136</v>
      </c>
      <c r="K1163" s="1" t="s">
        <v>137</v>
      </c>
      <c r="L1163" s="1" t="s">
        <v>12</v>
      </c>
      <c r="M1163" s="1" t="s">
        <v>12</v>
      </c>
      <c r="N1163" s="1">
        <v>33.18</v>
      </c>
      <c r="O1163" s="1" t="s">
        <v>30</v>
      </c>
      <c r="P1163" s="1" t="s">
        <v>37</v>
      </c>
      <c r="Q1163" s="1" t="s">
        <v>16</v>
      </c>
      <c r="R1163" s="1" t="str">
        <f>IF(N1163="","",VLOOKUP(N1163,Prior_levels,2,TRUE))</f>
        <v>H</v>
      </c>
    </row>
    <row r="1164" spans="1:18" x14ac:dyDescent="0.2">
      <c r="A1164" s="1" t="s">
        <v>135</v>
      </c>
      <c r="B1164" s="1" t="s">
        <v>10</v>
      </c>
      <c r="C1164" s="2">
        <v>41155</v>
      </c>
      <c r="D1164" s="1">
        <v>10</v>
      </c>
      <c r="E1164" s="1" t="s">
        <v>52</v>
      </c>
      <c r="F1164" s="1" t="s">
        <v>28</v>
      </c>
      <c r="H1164" s="1" t="s">
        <v>48</v>
      </c>
      <c r="I1164" s="1" t="s">
        <v>12</v>
      </c>
      <c r="J1164" s="1" t="s">
        <v>136</v>
      </c>
      <c r="K1164" s="1" t="s">
        <v>137</v>
      </c>
      <c r="L1164" s="1" t="s">
        <v>12</v>
      </c>
      <c r="M1164" s="1" t="s">
        <v>12</v>
      </c>
      <c r="N1164" s="1">
        <v>33.18</v>
      </c>
      <c r="O1164" s="1" t="s">
        <v>31</v>
      </c>
      <c r="P1164" s="1" t="s">
        <v>28</v>
      </c>
      <c r="Q1164" s="1" t="s">
        <v>16</v>
      </c>
      <c r="R1164" s="1" t="str">
        <f>IF(N1164="","",VLOOKUP(N1164,Prior_levels,2,TRUE))</f>
        <v>H</v>
      </c>
    </row>
    <row r="1165" spans="1:18" x14ac:dyDescent="0.2">
      <c r="A1165" s="1" t="s">
        <v>135</v>
      </c>
      <c r="B1165" s="1" t="s">
        <v>10</v>
      </c>
      <c r="C1165" s="2">
        <v>41155</v>
      </c>
      <c r="D1165" s="1">
        <v>10</v>
      </c>
      <c r="E1165" s="1" t="s">
        <v>52</v>
      </c>
      <c r="F1165" s="1" t="s">
        <v>28</v>
      </c>
      <c r="H1165" s="1" t="s">
        <v>48</v>
      </c>
      <c r="I1165" s="1" t="s">
        <v>12</v>
      </c>
      <c r="J1165" s="1" t="s">
        <v>136</v>
      </c>
      <c r="K1165" s="1" t="s">
        <v>137</v>
      </c>
      <c r="L1165" s="1" t="s">
        <v>12</v>
      </c>
      <c r="M1165" s="1" t="s">
        <v>12</v>
      </c>
      <c r="N1165" s="1">
        <v>33.18</v>
      </c>
      <c r="O1165" s="1" t="s">
        <v>32</v>
      </c>
      <c r="P1165" s="1" t="s">
        <v>37</v>
      </c>
      <c r="Q1165" s="1" t="s">
        <v>16</v>
      </c>
      <c r="R1165" s="1" t="str">
        <f>IF(N1165="","",VLOOKUP(N1165,Prior_levels,2,TRUE))</f>
        <v>H</v>
      </c>
    </row>
    <row r="1166" spans="1:18" x14ac:dyDescent="0.2">
      <c r="A1166" s="1" t="s">
        <v>138</v>
      </c>
      <c r="B1166" s="1" t="s">
        <v>10</v>
      </c>
      <c r="C1166" s="2">
        <v>41155</v>
      </c>
      <c r="D1166" s="1">
        <v>10</v>
      </c>
      <c r="E1166" s="1" t="s">
        <v>52</v>
      </c>
      <c r="F1166" s="1" t="s">
        <v>28</v>
      </c>
      <c r="H1166" s="1" t="s">
        <v>48</v>
      </c>
      <c r="I1166" s="1" t="s">
        <v>12</v>
      </c>
      <c r="J1166" s="1" t="s">
        <v>43</v>
      </c>
      <c r="K1166" s="1" t="s">
        <v>139</v>
      </c>
      <c r="L1166" s="1" t="s">
        <v>12</v>
      </c>
      <c r="M1166" s="1" t="s">
        <v>12</v>
      </c>
      <c r="N1166" s="1">
        <v>33.18</v>
      </c>
      <c r="O1166" s="1" t="s">
        <v>15</v>
      </c>
      <c r="P1166" s="1">
        <v>4.5</v>
      </c>
      <c r="Q1166" s="1" t="s">
        <v>16</v>
      </c>
      <c r="R1166" s="1" t="str">
        <f>IF(N1166="","",VLOOKUP(N1166,Prior_levels,2,TRUE))</f>
        <v>H</v>
      </c>
    </row>
    <row r="1167" spans="1:18" x14ac:dyDescent="0.2">
      <c r="A1167" s="1" t="s">
        <v>138</v>
      </c>
      <c r="B1167" s="1" t="s">
        <v>10</v>
      </c>
      <c r="C1167" s="2">
        <v>41155</v>
      </c>
      <c r="D1167" s="1">
        <v>10</v>
      </c>
      <c r="E1167" s="1" t="s">
        <v>52</v>
      </c>
      <c r="F1167" s="1" t="s">
        <v>28</v>
      </c>
      <c r="H1167" s="1" t="s">
        <v>48</v>
      </c>
      <c r="I1167" s="1" t="s">
        <v>12</v>
      </c>
      <c r="J1167" s="1" t="s">
        <v>43</v>
      </c>
      <c r="K1167" s="1" t="s">
        <v>139</v>
      </c>
      <c r="L1167" s="1" t="s">
        <v>12</v>
      </c>
      <c r="M1167" s="1" t="s">
        <v>12</v>
      </c>
      <c r="N1167" s="1">
        <v>33.18</v>
      </c>
      <c r="O1167" s="1" t="s">
        <v>17</v>
      </c>
      <c r="P1167" s="1">
        <v>-2.0499999999999998</v>
      </c>
      <c r="Q1167" s="1" t="s">
        <v>16</v>
      </c>
      <c r="R1167" s="1" t="str">
        <f>IF(N1167="","",VLOOKUP(N1167,Prior_levels,2,TRUE))</f>
        <v>H</v>
      </c>
    </row>
    <row r="1168" spans="1:18" x14ac:dyDescent="0.2">
      <c r="A1168" s="1" t="s">
        <v>138</v>
      </c>
      <c r="B1168" s="1" t="s">
        <v>10</v>
      </c>
      <c r="C1168" s="2">
        <v>41155</v>
      </c>
      <c r="D1168" s="1">
        <v>10</v>
      </c>
      <c r="E1168" s="1" t="s">
        <v>52</v>
      </c>
      <c r="F1168" s="1" t="s">
        <v>28</v>
      </c>
      <c r="H1168" s="1" t="s">
        <v>48</v>
      </c>
      <c r="I1168" s="1" t="s">
        <v>12</v>
      </c>
      <c r="J1168" s="1" t="s">
        <v>43</v>
      </c>
      <c r="K1168" s="1" t="s">
        <v>139</v>
      </c>
      <c r="L1168" s="1" t="s">
        <v>12</v>
      </c>
      <c r="M1168" s="1" t="s">
        <v>12</v>
      </c>
      <c r="N1168" s="1">
        <v>33.18</v>
      </c>
      <c r="O1168" s="1" t="s">
        <v>18</v>
      </c>
      <c r="P1168" s="1">
        <v>10</v>
      </c>
      <c r="Q1168" s="1" t="s">
        <v>16</v>
      </c>
      <c r="R1168" s="1" t="str">
        <f>IF(N1168="","",VLOOKUP(N1168,Prior_levels,2,TRUE))</f>
        <v>H</v>
      </c>
    </row>
    <row r="1169" spans="1:18" x14ac:dyDescent="0.2">
      <c r="A1169" s="1" t="s">
        <v>138</v>
      </c>
      <c r="B1169" s="1" t="s">
        <v>10</v>
      </c>
      <c r="C1169" s="2">
        <v>41155</v>
      </c>
      <c r="D1169" s="1">
        <v>10</v>
      </c>
      <c r="E1169" s="1" t="s">
        <v>52</v>
      </c>
      <c r="F1169" s="1" t="s">
        <v>28</v>
      </c>
      <c r="H1169" s="1" t="s">
        <v>48</v>
      </c>
      <c r="I1169" s="1" t="s">
        <v>12</v>
      </c>
      <c r="J1169" s="1" t="s">
        <v>43</v>
      </c>
      <c r="K1169" s="1" t="s">
        <v>139</v>
      </c>
      <c r="L1169" s="1" t="s">
        <v>12</v>
      </c>
      <c r="M1169" s="1" t="s">
        <v>12</v>
      </c>
      <c r="N1169" s="1">
        <v>33.18</v>
      </c>
      <c r="O1169" s="1" t="s">
        <v>19</v>
      </c>
      <c r="P1169" s="1">
        <v>10</v>
      </c>
      <c r="Q1169" s="1" t="s">
        <v>16</v>
      </c>
      <c r="R1169" s="1" t="str">
        <f>IF(N1169="","",VLOOKUP(N1169,Prior_levels,2,TRUE))</f>
        <v>H</v>
      </c>
    </row>
    <row r="1170" spans="1:18" x14ac:dyDescent="0.2">
      <c r="A1170" s="1" t="s">
        <v>138</v>
      </c>
      <c r="B1170" s="1" t="s">
        <v>10</v>
      </c>
      <c r="C1170" s="2">
        <v>41155</v>
      </c>
      <c r="D1170" s="1">
        <v>10</v>
      </c>
      <c r="E1170" s="1" t="s">
        <v>52</v>
      </c>
      <c r="F1170" s="1" t="s">
        <v>28</v>
      </c>
      <c r="H1170" s="1" t="s">
        <v>48</v>
      </c>
      <c r="I1170" s="1" t="s">
        <v>12</v>
      </c>
      <c r="J1170" s="1" t="s">
        <v>43</v>
      </c>
      <c r="K1170" s="1" t="s">
        <v>139</v>
      </c>
      <c r="L1170" s="1" t="s">
        <v>12</v>
      </c>
      <c r="M1170" s="1" t="s">
        <v>12</v>
      </c>
      <c r="N1170" s="1">
        <v>33.18</v>
      </c>
      <c r="O1170" s="1" t="s">
        <v>20</v>
      </c>
      <c r="P1170" s="1">
        <v>12</v>
      </c>
      <c r="Q1170" s="1" t="s">
        <v>16</v>
      </c>
      <c r="R1170" s="1" t="str">
        <f>IF(N1170="","",VLOOKUP(N1170,Prior_levels,2,TRUE))</f>
        <v>H</v>
      </c>
    </row>
    <row r="1171" spans="1:18" x14ac:dyDescent="0.2">
      <c r="A1171" s="1" t="s">
        <v>138</v>
      </c>
      <c r="B1171" s="1" t="s">
        <v>10</v>
      </c>
      <c r="C1171" s="2">
        <v>41155</v>
      </c>
      <c r="D1171" s="1">
        <v>10</v>
      </c>
      <c r="E1171" s="1" t="s">
        <v>52</v>
      </c>
      <c r="F1171" s="1" t="s">
        <v>28</v>
      </c>
      <c r="H1171" s="1" t="s">
        <v>48</v>
      </c>
      <c r="I1171" s="1" t="s">
        <v>12</v>
      </c>
      <c r="J1171" s="1" t="s">
        <v>43</v>
      </c>
      <c r="K1171" s="1" t="s">
        <v>139</v>
      </c>
      <c r="L1171" s="1" t="s">
        <v>12</v>
      </c>
      <c r="M1171" s="1" t="s">
        <v>12</v>
      </c>
      <c r="N1171" s="1">
        <v>33.18</v>
      </c>
      <c r="O1171" s="1" t="s">
        <v>21</v>
      </c>
      <c r="P1171" s="1">
        <v>13</v>
      </c>
      <c r="Q1171" s="1" t="s">
        <v>16</v>
      </c>
      <c r="R1171" s="1" t="str">
        <f>IF(N1171="","",VLOOKUP(N1171,Prior_levels,2,TRUE))</f>
        <v>H</v>
      </c>
    </row>
    <row r="1172" spans="1:18" x14ac:dyDescent="0.2">
      <c r="A1172" s="1" t="s">
        <v>138</v>
      </c>
      <c r="B1172" s="1" t="s">
        <v>10</v>
      </c>
      <c r="C1172" s="2">
        <v>41155</v>
      </c>
      <c r="D1172" s="1">
        <v>10</v>
      </c>
      <c r="E1172" s="1" t="s">
        <v>52</v>
      </c>
      <c r="F1172" s="1" t="s">
        <v>28</v>
      </c>
      <c r="H1172" s="1" t="s">
        <v>48</v>
      </c>
      <c r="I1172" s="1" t="s">
        <v>12</v>
      </c>
      <c r="J1172" s="1" t="s">
        <v>43</v>
      </c>
      <c r="K1172" s="1" t="s">
        <v>139</v>
      </c>
      <c r="L1172" s="1" t="s">
        <v>12</v>
      </c>
      <c r="M1172" s="1" t="s">
        <v>12</v>
      </c>
      <c r="N1172" s="1">
        <v>33.18</v>
      </c>
      <c r="O1172" s="1" t="s">
        <v>22</v>
      </c>
      <c r="P1172" s="1">
        <v>-1.64</v>
      </c>
      <c r="Q1172" s="1" t="s">
        <v>16</v>
      </c>
      <c r="R1172" s="1" t="str">
        <f>IF(N1172="","",VLOOKUP(N1172,Prior_levels,2,TRUE))</f>
        <v>H</v>
      </c>
    </row>
    <row r="1173" spans="1:18" x14ac:dyDescent="0.2">
      <c r="A1173" s="1" t="s">
        <v>138</v>
      </c>
      <c r="B1173" s="1" t="s">
        <v>10</v>
      </c>
      <c r="C1173" s="2">
        <v>41155</v>
      </c>
      <c r="D1173" s="1">
        <v>10</v>
      </c>
      <c r="E1173" s="1" t="s">
        <v>52</v>
      </c>
      <c r="F1173" s="1" t="s">
        <v>28</v>
      </c>
      <c r="H1173" s="1" t="s">
        <v>48</v>
      </c>
      <c r="I1173" s="1" t="s">
        <v>12</v>
      </c>
      <c r="J1173" s="1" t="s">
        <v>43</v>
      </c>
      <c r="K1173" s="1" t="s">
        <v>139</v>
      </c>
      <c r="L1173" s="1" t="s">
        <v>12</v>
      </c>
      <c r="M1173" s="1" t="s">
        <v>12</v>
      </c>
      <c r="N1173" s="1">
        <v>33.18</v>
      </c>
      <c r="O1173" s="1" t="s">
        <v>23</v>
      </c>
      <c r="P1173" s="1">
        <v>-1.66</v>
      </c>
      <c r="Q1173" s="1" t="s">
        <v>16</v>
      </c>
      <c r="R1173" s="1" t="str">
        <f>IF(N1173="","",VLOOKUP(N1173,Prior_levels,2,TRUE))</f>
        <v>H</v>
      </c>
    </row>
    <row r="1174" spans="1:18" x14ac:dyDescent="0.2">
      <c r="A1174" s="1" t="s">
        <v>138</v>
      </c>
      <c r="B1174" s="1" t="s">
        <v>10</v>
      </c>
      <c r="C1174" s="2">
        <v>41155</v>
      </c>
      <c r="D1174" s="1">
        <v>10</v>
      </c>
      <c r="E1174" s="1" t="s">
        <v>52</v>
      </c>
      <c r="F1174" s="1" t="s">
        <v>28</v>
      </c>
      <c r="H1174" s="1" t="s">
        <v>48</v>
      </c>
      <c r="I1174" s="1" t="s">
        <v>12</v>
      </c>
      <c r="J1174" s="1" t="s">
        <v>43</v>
      </c>
      <c r="K1174" s="1" t="s">
        <v>139</v>
      </c>
      <c r="L1174" s="1" t="s">
        <v>12</v>
      </c>
      <c r="M1174" s="1" t="s">
        <v>12</v>
      </c>
      <c r="N1174" s="1">
        <v>33.18</v>
      </c>
      <c r="O1174" s="1" t="s">
        <v>25</v>
      </c>
      <c r="P1174" s="1">
        <v>-6.62</v>
      </c>
      <c r="Q1174" s="1" t="s">
        <v>16</v>
      </c>
      <c r="R1174" s="1" t="str">
        <f>IF(N1174="","",VLOOKUP(N1174,Prior_levels,2,TRUE))</f>
        <v>H</v>
      </c>
    </row>
    <row r="1175" spans="1:18" x14ac:dyDescent="0.2">
      <c r="A1175" s="1" t="s">
        <v>138</v>
      </c>
      <c r="B1175" s="1" t="s">
        <v>10</v>
      </c>
      <c r="C1175" s="2">
        <v>41155</v>
      </c>
      <c r="D1175" s="1">
        <v>10</v>
      </c>
      <c r="E1175" s="1" t="s">
        <v>52</v>
      </c>
      <c r="F1175" s="1" t="s">
        <v>28</v>
      </c>
      <c r="H1175" s="1" t="s">
        <v>48</v>
      </c>
      <c r="I1175" s="1" t="s">
        <v>12</v>
      </c>
      <c r="J1175" s="1" t="s">
        <v>43</v>
      </c>
      <c r="K1175" s="1" t="s">
        <v>139</v>
      </c>
      <c r="L1175" s="1" t="s">
        <v>12</v>
      </c>
      <c r="M1175" s="1" t="s">
        <v>12</v>
      </c>
      <c r="N1175" s="1">
        <v>33.18</v>
      </c>
      <c r="O1175" s="1" t="s">
        <v>26</v>
      </c>
      <c r="P1175" s="1">
        <v>9</v>
      </c>
      <c r="Q1175" s="1" t="s">
        <v>16</v>
      </c>
      <c r="R1175" s="1" t="str">
        <f>IF(N1175="","",VLOOKUP(N1175,Prior_levels,2,TRUE))</f>
        <v>H</v>
      </c>
    </row>
    <row r="1176" spans="1:18" x14ac:dyDescent="0.2">
      <c r="A1176" s="1" t="s">
        <v>138</v>
      </c>
      <c r="B1176" s="1" t="s">
        <v>10</v>
      </c>
      <c r="C1176" s="2">
        <v>41155</v>
      </c>
      <c r="D1176" s="1">
        <v>10</v>
      </c>
      <c r="E1176" s="1" t="s">
        <v>52</v>
      </c>
      <c r="F1176" s="1" t="s">
        <v>28</v>
      </c>
      <c r="H1176" s="1" t="s">
        <v>48</v>
      </c>
      <c r="I1176" s="1" t="s">
        <v>12</v>
      </c>
      <c r="J1176" s="1" t="s">
        <v>43</v>
      </c>
      <c r="K1176" s="1" t="s">
        <v>139</v>
      </c>
      <c r="L1176" s="1" t="s">
        <v>12</v>
      </c>
      <c r="M1176" s="1" t="s">
        <v>12</v>
      </c>
      <c r="N1176" s="1">
        <v>33.18</v>
      </c>
      <c r="O1176" s="1" t="s">
        <v>24</v>
      </c>
      <c r="P1176" s="1">
        <v>-7.27</v>
      </c>
      <c r="Q1176" s="1" t="s">
        <v>16</v>
      </c>
      <c r="R1176" s="1" t="str">
        <f>IF(N1176="","",VLOOKUP(N1176,Prior_levels,2,TRUE))</f>
        <v>H</v>
      </c>
    </row>
    <row r="1177" spans="1:18" x14ac:dyDescent="0.2">
      <c r="A1177" s="1" t="s">
        <v>138</v>
      </c>
      <c r="B1177" s="1" t="s">
        <v>10</v>
      </c>
      <c r="C1177" s="2">
        <v>41155</v>
      </c>
      <c r="D1177" s="1">
        <v>10</v>
      </c>
      <c r="E1177" s="1" t="s">
        <v>52</v>
      </c>
      <c r="F1177" s="1" t="s">
        <v>28</v>
      </c>
      <c r="H1177" s="1" t="s">
        <v>48</v>
      </c>
      <c r="I1177" s="1" t="s">
        <v>12</v>
      </c>
      <c r="J1177" s="1" t="s">
        <v>43</v>
      </c>
      <c r="K1177" s="1" t="s">
        <v>139</v>
      </c>
      <c r="L1177" s="1" t="s">
        <v>12</v>
      </c>
      <c r="M1177" s="1" t="s">
        <v>12</v>
      </c>
      <c r="N1177" s="1">
        <v>33.18</v>
      </c>
      <c r="O1177" s="1" t="s">
        <v>32</v>
      </c>
      <c r="P1177" s="1" t="s">
        <v>37</v>
      </c>
      <c r="Q1177" s="1" t="s">
        <v>16</v>
      </c>
      <c r="R1177" s="1" t="str">
        <f>IF(N1177="","",VLOOKUP(N1177,Prior_levels,2,TRUE))</f>
        <v>H</v>
      </c>
    </row>
    <row r="1178" spans="1:18" x14ac:dyDescent="0.2">
      <c r="A1178" s="1" t="s">
        <v>138</v>
      </c>
      <c r="B1178" s="1" t="s">
        <v>10</v>
      </c>
      <c r="C1178" s="2">
        <v>41155</v>
      </c>
      <c r="D1178" s="1">
        <v>10</v>
      </c>
      <c r="E1178" s="1" t="s">
        <v>52</v>
      </c>
      <c r="F1178" s="1" t="s">
        <v>28</v>
      </c>
      <c r="H1178" s="1" t="s">
        <v>48</v>
      </c>
      <c r="I1178" s="1" t="s">
        <v>12</v>
      </c>
      <c r="J1178" s="1" t="s">
        <v>43</v>
      </c>
      <c r="K1178" s="1" t="s">
        <v>139</v>
      </c>
      <c r="L1178" s="1" t="s">
        <v>12</v>
      </c>
      <c r="M1178" s="1" t="s">
        <v>12</v>
      </c>
      <c r="N1178" s="1">
        <v>33.18</v>
      </c>
      <c r="O1178" s="1" t="s">
        <v>27</v>
      </c>
      <c r="P1178" s="1" t="s">
        <v>37</v>
      </c>
      <c r="Q1178" s="1" t="s">
        <v>16</v>
      </c>
      <c r="R1178" s="1" t="str">
        <f>IF(N1178="","",VLOOKUP(N1178,Prior_levels,2,TRUE))</f>
        <v>H</v>
      </c>
    </row>
    <row r="1179" spans="1:18" x14ac:dyDescent="0.2">
      <c r="A1179" s="1" t="s">
        <v>138</v>
      </c>
      <c r="B1179" s="1" t="s">
        <v>10</v>
      </c>
      <c r="C1179" s="2">
        <v>41155</v>
      </c>
      <c r="D1179" s="1">
        <v>10</v>
      </c>
      <c r="E1179" s="1" t="s">
        <v>52</v>
      </c>
      <c r="F1179" s="1" t="s">
        <v>28</v>
      </c>
      <c r="H1179" s="1" t="s">
        <v>48</v>
      </c>
      <c r="I1179" s="1" t="s">
        <v>12</v>
      </c>
      <c r="J1179" s="1" t="s">
        <v>43</v>
      </c>
      <c r="K1179" s="1" t="s">
        <v>139</v>
      </c>
      <c r="L1179" s="1" t="s">
        <v>12</v>
      </c>
      <c r="M1179" s="1" t="s">
        <v>12</v>
      </c>
      <c r="N1179" s="1">
        <v>33.18</v>
      </c>
      <c r="O1179" s="1" t="s">
        <v>29</v>
      </c>
      <c r="P1179" s="1" t="s">
        <v>37</v>
      </c>
      <c r="Q1179" s="1" t="s">
        <v>16</v>
      </c>
      <c r="R1179" s="1" t="str">
        <f>IF(N1179="","",VLOOKUP(N1179,Prior_levels,2,TRUE))</f>
        <v>H</v>
      </c>
    </row>
    <row r="1180" spans="1:18" x14ac:dyDescent="0.2">
      <c r="A1180" s="1" t="s">
        <v>138</v>
      </c>
      <c r="B1180" s="1" t="s">
        <v>10</v>
      </c>
      <c r="C1180" s="2">
        <v>41155</v>
      </c>
      <c r="D1180" s="1">
        <v>10</v>
      </c>
      <c r="E1180" s="1" t="s">
        <v>52</v>
      </c>
      <c r="F1180" s="1" t="s">
        <v>28</v>
      </c>
      <c r="H1180" s="1" t="s">
        <v>48</v>
      </c>
      <c r="I1180" s="1" t="s">
        <v>12</v>
      </c>
      <c r="J1180" s="1" t="s">
        <v>43</v>
      </c>
      <c r="K1180" s="1" t="s">
        <v>139</v>
      </c>
      <c r="L1180" s="1" t="s">
        <v>12</v>
      </c>
      <c r="M1180" s="1" t="s">
        <v>12</v>
      </c>
      <c r="N1180" s="1">
        <v>33.18</v>
      </c>
      <c r="O1180" s="1" t="s">
        <v>30</v>
      </c>
      <c r="P1180" s="1" t="s">
        <v>37</v>
      </c>
      <c r="Q1180" s="1" t="s">
        <v>16</v>
      </c>
      <c r="R1180" s="1" t="str">
        <f>IF(N1180="","",VLOOKUP(N1180,Prior_levels,2,TRUE))</f>
        <v>H</v>
      </c>
    </row>
    <row r="1181" spans="1:18" x14ac:dyDescent="0.2">
      <c r="A1181" s="1" t="s">
        <v>138</v>
      </c>
      <c r="B1181" s="1" t="s">
        <v>10</v>
      </c>
      <c r="C1181" s="2">
        <v>41155</v>
      </c>
      <c r="D1181" s="1">
        <v>10</v>
      </c>
      <c r="E1181" s="1" t="s">
        <v>52</v>
      </c>
      <c r="F1181" s="1" t="s">
        <v>28</v>
      </c>
      <c r="H1181" s="1" t="s">
        <v>48</v>
      </c>
      <c r="I1181" s="1" t="s">
        <v>12</v>
      </c>
      <c r="J1181" s="1" t="s">
        <v>43</v>
      </c>
      <c r="K1181" s="1" t="s">
        <v>139</v>
      </c>
      <c r="L1181" s="1" t="s">
        <v>12</v>
      </c>
      <c r="M1181" s="1" t="s">
        <v>12</v>
      </c>
      <c r="N1181" s="1">
        <v>33.18</v>
      </c>
      <c r="O1181" s="1" t="s">
        <v>31</v>
      </c>
      <c r="P1181" s="1" t="s">
        <v>37</v>
      </c>
      <c r="Q1181" s="1" t="s">
        <v>16</v>
      </c>
      <c r="R1181" s="1" t="str">
        <f>IF(N1181="","",VLOOKUP(N1181,Prior_levels,2,TRUE))</f>
        <v>H</v>
      </c>
    </row>
    <row r="1182" spans="1:18" x14ac:dyDescent="0.2">
      <c r="A1182" s="1" t="s">
        <v>140</v>
      </c>
      <c r="B1182" s="1" t="s">
        <v>10</v>
      </c>
      <c r="C1182" s="2">
        <v>41155</v>
      </c>
      <c r="D1182" s="1">
        <v>10</v>
      </c>
      <c r="E1182" s="1" t="s">
        <v>11</v>
      </c>
      <c r="I1182" s="1" t="s">
        <v>12</v>
      </c>
      <c r="J1182" s="1" t="s">
        <v>141</v>
      </c>
      <c r="K1182" s="1" t="s">
        <v>14</v>
      </c>
      <c r="L1182" s="1" t="s">
        <v>12</v>
      </c>
      <c r="M1182" s="1" t="s">
        <v>12</v>
      </c>
      <c r="N1182" s="1">
        <v>21.12</v>
      </c>
      <c r="O1182" s="1" t="s">
        <v>15</v>
      </c>
      <c r="P1182" s="1">
        <v>2.8</v>
      </c>
      <c r="Q1182" s="1" t="s">
        <v>16</v>
      </c>
      <c r="R1182" s="1" t="str">
        <f>IF(N1182="","",VLOOKUP(N1182,Prior_levels,2,TRUE))</f>
        <v>L</v>
      </c>
    </row>
    <row r="1183" spans="1:18" x14ac:dyDescent="0.2">
      <c r="A1183" s="1" t="s">
        <v>140</v>
      </c>
      <c r="B1183" s="1" t="s">
        <v>10</v>
      </c>
      <c r="C1183" s="2">
        <v>41155</v>
      </c>
      <c r="D1183" s="1">
        <v>10</v>
      </c>
      <c r="E1183" s="1" t="s">
        <v>11</v>
      </c>
      <c r="I1183" s="1" t="s">
        <v>12</v>
      </c>
      <c r="J1183" s="1" t="s">
        <v>141</v>
      </c>
      <c r="K1183" s="1" t="s">
        <v>14</v>
      </c>
      <c r="L1183" s="1" t="s">
        <v>12</v>
      </c>
      <c r="M1183" s="1" t="s">
        <v>12</v>
      </c>
      <c r="N1183" s="1">
        <v>21.12</v>
      </c>
      <c r="O1183" s="1" t="s">
        <v>17</v>
      </c>
      <c r="P1183" s="1">
        <v>-0.03</v>
      </c>
      <c r="Q1183" s="1" t="s">
        <v>16</v>
      </c>
      <c r="R1183" s="1" t="str">
        <f>IF(N1183="","",VLOOKUP(N1183,Prior_levels,2,TRUE))</f>
        <v>L</v>
      </c>
    </row>
    <row r="1184" spans="1:18" x14ac:dyDescent="0.2">
      <c r="A1184" s="1" t="s">
        <v>140</v>
      </c>
      <c r="B1184" s="1" t="s">
        <v>10</v>
      </c>
      <c r="C1184" s="2">
        <v>41155</v>
      </c>
      <c r="D1184" s="1">
        <v>10</v>
      </c>
      <c r="E1184" s="1" t="s">
        <v>11</v>
      </c>
      <c r="I1184" s="1" t="s">
        <v>12</v>
      </c>
      <c r="J1184" s="1" t="s">
        <v>141</v>
      </c>
      <c r="K1184" s="1" t="s">
        <v>14</v>
      </c>
      <c r="L1184" s="1" t="s">
        <v>12</v>
      </c>
      <c r="M1184" s="1" t="s">
        <v>12</v>
      </c>
      <c r="N1184" s="1">
        <v>21.12</v>
      </c>
      <c r="O1184" s="1" t="s">
        <v>18</v>
      </c>
      <c r="P1184" s="1">
        <v>8</v>
      </c>
      <c r="Q1184" s="1" t="s">
        <v>16</v>
      </c>
      <c r="R1184" s="1" t="str">
        <f>IF(N1184="","",VLOOKUP(N1184,Prior_levels,2,TRUE))</f>
        <v>L</v>
      </c>
    </row>
    <row r="1185" spans="1:18" x14ac:dyDescent="0.2">
      <c r="A1185" s="1" t="s">
        <v>140</v>
      </c>
      <c r="B1185" s="1" t="s">
        <v>10</v>
      </c>
      <c r="C1185" s="2">
        <v>41155</v>
      </c>
      <c r="D1185" s="1">
        <v>10</v>
      </c>
      <c r="E1185" s="1" t="s">
        <v>11</v>
      </c>
      <c r="I1185" s="1" t="s">
        <v>12</v>
      </c>
      <c r="J1185" s="1" t="s">
        <v>141</v>
      </c>
      <c r="K1185" s="1" t="s">
        <v>14</v>
      </c>
      <c r="L1185" s="1" t="s">
        <v>12</v>
      </c>
      <c r="M1185" s="1" t="s">
        <v>12</v>
      </c>
      <c r="N1185" s="1">
        <v>21.12</v>
      </c>
      <c r="O1185" s="1" t="s">
        <v>19</v>
      </c>
      <c r="P1185" s="1">
        <v>4</v>
      </c>
      <c r="Q1185" s="1" t="s">
        <v>16</v>
      </c>
      <c r="R1185" s="1" t="str">
        <f>IF(N1185="","",VLOOKUP(N1185,Prior_levels,2,TRUE))</f>
        <v>L</v>
      </c>
    </row>
    <row r="1186" spans="1:18" x14ac:dyDescent="0.2">
      <c r="A1186" s="1" t="s">
        <v>140</v>
      </c>
      <c r="B1186" s="1" t="s">
        <v>10</v>
      </c>
      <c r="C1186" s="2">
        <v>41155</v>
      </c>
      <c r="D1186" s="1">
        <v>10</v>
      </c>
      <c r="E1186" s="1" t="s">
        <v>11</v>
      </c>
      <c r="I1186" s="1" t="s">
        <v>12</v>
      </c>
      <c r="J1186" s="1" t="s">
        <v>141</v>
      </c>
      <c r="K1186" s="1" t="s">
        <v>14</v>
      </c>
      <c r="L1186" s="1" t="s">
        <v>12</v>
      </c>
      <c r="M1186" s="1" t="s">
        <v>12</v>
      </c>
      <c r="N1186" s="1">
        <v>21.12</v>
      </c>
      <c r="O1186" s="1" t="s">
        <v>20</v>
      </c>
      <c r="P1186" s="1">
        <v>7.5</v>
      </c>
      <c r="Q1186" s="1" t="s">
        <v>16</v>
      </c>
      <c r="R1186" s="1" t="str">
        <f>IF(N1186="","",VLOOKUP(N1186,Prior_levels,2,TRUE))</f>
        <v>L</v>
      </c>
    </row>
    <row r="1187" spans="1:18" x14ac:dyDescent="0.2">
      <c r="A1187" s="1" t="s">
        <v>140</v>
      </c>
      <c r="B1187" s="1" t="s">
        <v>10</v>
      </c>
      <c r="C1187" s="2">
        <v>41155</v>
      </c>
      <c r="D1187" s="1">
        <v>10</v>
      </c>
      <c r="E1187" s="1" t="s">
        <v>11</v>
      </c>
      <c r="I1187" s="1" t="s">
        <v>12</v>
      </c>
      <c r="J1187" s="1" t="s">
        <v>141</v>
      </c>
      <c r="K1187" s="1" t="s">
        <v>14</v>
      </c>
      <c r="L1187" s="1" t="s">
        <v>12</v>
      </c>
      <c r="M1187" s="1" t="s">
        <v>12</v>
      </c>
      <c r="N1187" s="1">
        <v>21.12</v>
      </c>
      <c r="O1187" s="1" t="s">
        <v>21</v>
      </c>
      <c r="P1187" s="1">
        <v>8.5</v>
      </c>
      <c r="Q1187" s="1" t="s">
        <v>16</v>
      </c>
      <c r="R1187" s="1" t="str">
        <f>IF(N1187="","",VLOOKUP(N1187,Prior_levels,2,TRUE))</f>
        <v>L</v>
      </c>
    </row>
    <row r="1188" spans="1:18" x14ac:dyDescent="0.2">
      <c r="A1188" s="1" t="s">
        <v>140</v>
      </c>
      <c r="B1188" s="1" t="s">
        <v>10</v>
      </c>
      <c r="C1188" s="2">
        <v>41155</v>
      </c>
      <c r="D1188" s="1">
        <v>10</v>
      </c>
      <c r="E1188" s="1" t="s">
        <v>11</v>
      </c>
      <c r="I1188" s="1" t="s">
        <v>12</v>
      </c>
      <c r="J1188" s="1" t="s">
        <v>141</v>
      </c>
      <c r="K1188" s="1" t="s">
        <v>14</v>
      </c>
      <c r="L1188" s="1" t="s">
        <v>12</v>
      </c>
      <c r="M1188" s="1" t="s">
        <v>12</v>
      </c>
      <c r="N1188" s="1">
        <v>21.12</v>
      </c>
      <c r="O1188" s="1" t="s">
        <v>22</v>
      </c>
      <c r="P1188" s="1">
        <v>0.34</v>
      </c>
      <c r="Q1188" s="1" t="s">
        <v>16</v>
      </c>
      <c r="R1188" s="1" t="str">
        <f>IF(N1188="","",VLOOKUP(N1188,Prior_levels,2,TRUE))</f>
        <v>L</v>
      </c>
    </row>
    <row r="1189" spans="1:18" x14ac:dyDescent="0.2">
      <c r="A1189" s="1" t="s">
        <v>140</v>
      </c>
      <c r="B1189" s="1" t="s">
        <v>10</v>
      </c>
      <c r="C1189" s="2">
        <v>41155</v>
      </c>
      <c r="D1189" s="1">
        <v>10</v>
      </c>
      <c r="E1189" s="1" t="s">
        <v>11</v>
      </c>
      <c r="I1189" s="1" t="s">
        <v>12</v>
      </c>
      <c r="J1189" s="1" t="s">
        <v>141</v>
      </c>
      <c r="K1189" s="1" t="s">
        <v>14</v>
      </c>
      <c r="L1189" s="1" t="s">
        <v>12</v>
      </c>
      <c r="M1189" s="1" t="s">
        <v>12</v>
      </c>
      <c r="N1189" s="1">
        <v>21.12</v>
      </c>
      <c r="O1189" s="1" t="s">
        <v>23</v>
      </c>
      <c r="P1189" s="1">
        <v>-0.61</v>
      </c>
      <c r="Q1189" s="1" t="s">
        <v>16</v>
      </c>
      <c r="R1189" s="1" t="str">
        <f>IF(N1189="","",VLOOKUP(N1189,Prior_levels,2,TRUE))</f>
        <v>L</v>
      </c>
    </row>
    <row r="1190" spans="1:18" x14ac:dyDescent="0.2">
      <c r="A1190" s="1" t="s">
        <v>140</v>
      </c>
      <c r="B1190" s="1" t="s">
        <v>10</v>
      </c>
      <c r="C1190" s="2">
        <v>41155</v>
      </c>
      <c r="D1190" s="1">
        <v>10</v>
      </c>
      <c r="E1190" s="1" t="s">
        <v>11</v>
      </c>
      <c r="I1190" s="1" t="s">
        <v>12</v>
      </c>
      <c r="J1190" s="1" t="s">
        <v>141</v>
      </c>
      <c r="K1190" s="1" t="s">
        <v>14</v>
      </c>
      <c r="L1190" s="1" t="s">
        <v>12</v>
      </c>
      <c r="M1190" s="1" t="s">
        <v>12</v>
      </c>
      <c r="N1190" s="1">
        <v>21.12</v>
      </c>
      <c r="O1190" s="1" t="s">
        <v>25</v>
      </c>
      <c r="P1190" s="1">
        <v>-2.7</v>
      </c>
      <c r="Q1190" s="1" t="s">
        <v>16</v>
      </c>
      <c r="R1190" s="1" t="str">
        <f>IF(N1190="","",VLOOKUP(N1190,Prior_levels,2,TRUE))</f>
        <v>L</v>
      </c>
    </row>
    <row r="1191" spans="1:18" x14ac:dyDescent="0.2">
      <c r="A1191" s="1" t="s">
        <v>140</v>
      </c>
      <c r="B1191" s="1" t="s">
        <v>10</v>
      </c>
      <c r="C1191" s="2">
        <v>41155</v>
      </c>
      <c r="D1191" s="1">
        <v>10</v>
      </c>
      <c r="E1191" s="1" t="s">
        <v>11</v>
      </c>
      <c r="I1191" s="1" t="s">
        <v>12</v>
      </c>
      <c r="J1191" s="1" t="s">
        <v>141</v>
      </c>
      <c r="K1191" s="1" t="s">
        <v>14</v>
      </c>
      <c r="L1191" s="1" t="s">
        <v>12</v>
      </c>
      <c r="M1191" s="1" t="s">
        <v>12</v>
      </c>
      <c r="N1191" s="1">
        <v>21.12</v>
      </c>
      <c r="O1191" s="1" t="s">
        <v>26</v>
      </c>
      <c r="P1191" s="1">
        <v>0</v>
      </c>
      <c r="Q1191" s="1" t="s">
        <v>16</v>
      </c>
      <c r="R1191" s="1" t="str">
        <f>IF(N1191="","",VLOOKUP(N1191,Prior_levels,2,TRUE))</f>
        <v>L</v>
      </c>
    </row>
    <row r="1192" spans="1:18" x14ac:dyDescent="0.2">
      <c r="A1192" s="1" t="s">
        <v>140</v>
      </c>
      <c r="B1192" s="1" t="s">
        <v>10</v>
      </c>
      <c r="C1192" s="2">
        <v>41155</v>
      </c>
      <c r="D1192" s="1">
        <v>10</v>
      </c>
      <c r="E1192" s="1" t="s">
        <v>11</v>
      </c>
      <c r="I1192" s="1" t="s">
        <v>12</v>
      </c>
      <c r="J1192" s="1" t="s">
        <v>141</v>
      </c>
      <c r="K1192" s="1" t="s">
        <v>14</v>
      </c>
      <c r="L1192" s="1" t="s">
        <v>12</v>
      </c>
      <c r="M1192" s="1" t="s">
        <v>12</v>
      </c>
      <c r="N1192" s="1">
        <v>21.12</v>
      </c>
      <c r="O1192" s="1" t="s">
        <v>24</v>
      </c>
      <c r="P1192" s="1">
        <v>2.99</v>
      </c>
      <c r="Q1192" s="1" t="s">
        <v>16</v>
      </c>
      <c r="R1192" s="1" t="str">
        <f>IF(N1192="","",VLOOKUP(N1192,Prior_levels,2,TRUE))</f>
        <v>L</v>
      </c>
    </row>
    <row r="1193" spans="1:18" x14ac:dyDescent="0.2">
      <c r="A1193" s="1" t="s">
        <v>140</v>
      </c>
      <c r="B1193" s="1" t="s">
        <v>10</v>
      </c>
      <c r="C1193" s="2">
        <v>41155</v>
      </c>
      <c r="D1193" s="1">
        <v>10</v>
      </c>
      <c r="E1193" s="1" t="s">
        <v>11</v>
      </c>
      <c r="I1193" s="1" t="s">
        <v>12</v>
      </c>
      <c r="J1193" s="1" t="s">
        <v>141</v>
      </c>
      <c r="K1193" s="1" t="s">
        <v>14</v>
      </c>
      <c r="L1193" s="1" t="s">
        <v>12</v>
      </c>
      <c r="M1193" s="1" t="s">
        <v>12</v>
      </c>
      <c r="N1193" s="1">
        <v>21.12</v>
      </c>
      <c r="O1193" s="1" t="s">
        <v>27</v>
      </c>
      <c r="P1193" s="1" t="s">
        <v>28</v>
      </c>
      <c r="Q1193" s="1" t="s">
        <v>16</v>
      </c>
      <c r="R1193" s="1" t="str">
        <f>IF(N1193="","",VLOOKUP(N1193,Prior_levels,2,TRUE))</f>
        <v>L</v>
      </c>
    </row>
    <row r="1194" spans="1:18" x14ac:dyDescent="0.2">
      <c r="A1194" s="1" t="s">
        <v>140</v>
      </c>
      <c r="B1194" s="1" t="s">
        <v>10</v>
      </c>
      <c r="C1194" s="2">
        <v>41155</v>
      </c>
      <c r="D1194" s="1">
        <v>10</v>
      </c>
      <c r="E1194" s="1" t="s">
        <v>11</v>
      </c>
      <c r="I1194" s="1" t="s">
        <v>12</v>
      </c>
      <c r="J1194" s="1" t="s">
        <v>141</v>
      </c>
      <c r="K1194" s="1" t="s">
        <v>14</v>
      </c>
      <c r="L1194" s="1" t="s">
        <v>12</v>
      </c>
      <c r="M1194" s="1" t="s">
        <v>12</v>
      </c>
      <c r="N1194" s="1">
        <v>21.12</v>
      </c>
      <c r="O1194" s="1" t="s">
        <v>29</v>
      </c>
      <c r="P1194" s="1" t="s">
        <v>28</v>
      </c>
      <c r="Q1194" s="1" t="s">
        <v>16</v>
      </c>
      <c r="R1194" s="1" t="str">
        <f>IF(N1194="","",VLOOKUP(N1194,Prior_levels,2,TRUE))</f>
        <v>L</v>
      </c>
    </row>
    <row r="1195" spans="1:18" x14ac:dyDescent="0.2">
      <c r="A1195" s="1" t="s">
        <v>140</v>
      </c>
      <c r="B1195" s="1" t="s">
        <v>10</v>
      </c>
      <c r="C1195" s="2">
        <v>41155</v>
      </c>
      <c r="D1195" s="1">
        <v>10</v>
      </c>
      <c r="E1195" s="1" t="s">
        <v>11</v>
      </c>
      <c r="I1195" s="1" t="s">
        <v>12</v>
      </c>
      <c r="J1195" s="1" t="s">
        <v>141</v>
      </c>
      <c r="K1195" s="1" t="s">
        <v>14</v>
      </c>
      <c r="L1195" s="1" t="s">
        <v>12</v>
      </c>
      <c r="M1195" s="1" t="s">
        <v>12</v>
      </c>
      <c r="N1195" s="1">
        <v>21.12</v>
      </c>
      <c r="O1195" s="1" t="s">
        <v>30</v>
      </c>
      <c r="P1195" s="1" t="s">
        <v>28</v>
      </c>
      <c r="Q1195" s="1" t="s">
        <v>16</v>
      </c>
      <c r="R1195" s="1" t="str">
        <f>IF(N1195="","",VLOOKUP(N1195,Prior_levels,2,TRUE))</f>
        <v>L</v>
      </c>
    </row>
    <row r="1196" spans="1:18" x14ac:dyDescent="0.2">
      <c r="A1196" s="1" t="s">
        <v>140</v>
      </c>
      <c r="B1196" s="1" t="s">
        <v>10</v>
      </c>
      <c r="C1196" s="2">
        <v>41155</v>
      </c>
      <c r="D1196" s="1">
        <v>10</v>
      </c>
      <c r="E1196" s="1" t="s">
        <v>11</v>
      </c>
      <c r="I1196" s="1" t="s">
        <v>12</v>
      </c>
      <c r="J1196" s="1" t="s">
        <v>141</v>
      </c>
      <c r="K1196" s="1" t="s">
        <v>14</v>
      </c>
      <c r="L1196" s="1" t="s">
        <v>12</v>
      </c>
      <c r="M1196" s="1" t="s">
        <v>12</v>
      </c>
      <c r="N1196" s="1">
        <v>21.12</v>
      </c>
      <c r="O1196" s="1" t="s">
        <v>31</v>
      </c>
      <c r="P1196" s="1" t="s">
        <v>28</v>
      </c>
      <c r="Q1196" s="1" t="s">
        <v>16</v>
      </c>
      <c r="R1196" s="1" t="str">
        <f>IF(N1196="","",VLOOKUP(N1196,Prior_levels,2,TRUE))</f>
        <v>L</v>
      </c>
    </row>
    <row r="1197" spans="1:18" x14ac:dyDescent="0.2">
      <c r="A1197" s="1" t="s">
        <v>140</v>
      </c>
      <c r="B1197" s="1" t="s">
        <v>10</v>
      </c>
      <c r="C1197" s="2">
        <v>41155</v>
      </c>
      <c r="D1197" s="1">
        <v>10</v>
      </c>
      <c r="E1197" s="1" t="s">
        <v>11</v>
      </c>
      <c r="I1197" s="1" t="s">
        <v>12</v>
      </c>
      <c r="J1197" s="1" t="s">
        <v>141</v>
      </c>
      <c r="K1197" s="1" t="s">
        <v>14</v>
      </c>
      <c r="L1197" s="1" t="s">
        <v>12</v>
      </c>
      <c r="M1197" s="1" t="s">
        <v>12</v>
      </c>
      <c r="N1197" s="1">
        <v>21.12</v>
      </c>
      <c r="O1197" s="1" t="s">
        <v>32</v>
      </c>
      <c r="P1197" s="1" t="s">
        <v>28</v>
      </c>
      <c r="Q1197" s="1" t="s">
        <v>16</v>
      </c>
      <c r="R1197" s="1" t="str">
        <f>IF(N1197="","",VLOOKUP(N1197,Prior_levels,2,TRUE))</f>
        <v>L</v>
      </c>
    </row>
    <row r="1198" spans="1:18" x14ac:dyDescent="0.2">
      <c r="A1198" s="1" t="s">
        <v>142</v>
      </c>
      <c r="B1198" s="1" t="s">
        <v>10</v>
      </c>
      <c r="C1198" s="2">
        <v>41155</v>
      </c>
      <c r="D1198" s="1">
        <v>10</v>
      </c>
      <c r="E1198" s="1" t="s">
        <v>47</v>
      </c>
      <c r="H1198" s="1" t="s">
        <v>54</v>
      </c>
      <c r="I1198" s="1" t="s">
        <v>12</v>
      </c>
      <c r="J1198" s="1" t="s">
        <v>40</v>
      </c>
      <c r="K1198" s="1" t="s">
        <v>14</v>
      </c>
      <c r="L1198" s="1" t="s">
        <v>12</v>
      </c>
      <c r="M1198" s="1" t="s">
        <v>12</v>
      </c>
      <c r="N1198" s="1">
        <v>36.18</v>
      </c>
      <c r="O1198" s="1" t="s">
        <v>15</v>
      </c>
      <c r="P1198" s="1">
        <v>7</v>
      </c>
      <c r="Q1198" s="1" t="s">
        <v>16</v>
      </c>
      <c r="R1198" s="1" t="str">
        <f>IF(N1198="","",VLOOKUP(N1198,Prior_levels,2,TRUE))</f>
        <v>H</v>
      </c>
    </row>
    <row r="1199" spans="1:18" x14ac:dyDescent="0.2">
      <c r="A1199" s="1" t="s">
        <v>142</v>
      </c>
      <c r="B1199" s="1" t="s">
        <v>10</v>
      </c>
      <c r="C1199" s="2">
        <v>41155</v>
      </c>
      <c r="D1199" s="1">
        <v>10</v>
      </c>
      <c r="E1199" s="1" t="s">
        <v>47</v>
      </c>
      <c r="H1199" s="1" t="s">
        <v>54</v>
      </c>
      <c r="I1199" s="1" t="s">
        <v>12</v>
      </c>
      <c r="J1199" s="1" t="s">
        <v>40</v>
      </c>
      <c r="K1199" s="1" t="s">
        <v>14</v>
      </c>
      <c r="L1199" s="1" t="s">
        <v>12</v>
      </c>
      <c r="M1199" s="1" t="s">
        <v>12</v>
      </c>
      <c r="N1199" s="1">
        <v>36.18</v>
      </c>
      <c r="O1199" s="1" t="s">
        <v>18</v>
      </c>
      <c r="P1199" s="1">
        <v>14</v>
      </c>
      <c r="Q1199" s="1" t="s">
        <v>16</v>
      </c>
      <c r="R1199" s="1" t="str">
        <f>IF(N1199="","",VLOOKUP(N1199,Prior_levels,2,TRUE))</f>
        <v>H</v>
      </c>
    </row>
    <row r="1200" spans="1:18" x14ac:dyDescent="0.2">
      <c r="A1200" s="1" t="s">
        <v>142</v>
      </c>
      <c r="B1200" s="1" t="s">
        <v>10</v>
      </c>
      <c r="C1200" s="2">
        <v>41155</v>
      </c>
      <c r="D1200" s="1">
        <v>10</v>
      </c>
      <c r="E1200" s="1" t="s">
        <v>47</v>
      </c>
      <c r="H1200" s="1" t="s">
        <v>54</v>
      </c>
      <c r="I1200" s="1" t="s">
        <v>12</v>
      </c>
      <c r="J1200" s="1" t="s">
        <v>40</v>
      </c>
      <c r="K1200" s="1" t="s">
        <v>14</v>
      </c>
      <c r="L1200" s="1" t="s">
        <v>12</v>
      </c>
      <c r="M1200" s="1" t="s">
        <v>12</v>
      </c>
      <c r="N1200" s="1">
        <v>36.18</v>
      </c>
      <c r="O1200" s="1" t="s">
        <v>19</v>
      </c>
      <c r="P1200" s="1">
        <v>14</v>
      </c>
      <c r="Q1200" s="1" t="s">
        <v>16</v>
      </c>
      <c r="R1200" s="1" t="str">
        <f>IF(N1200="","",VLOOKUP(N1200,Prior_levels,2,TRUE))</f>
        <v>H</v>
      </c>
    </row>
    <row r="1201" spans="1:18" x14ac:dyDescent="0.2">
      <c r="A1201" s="1" t="s">
        <v>142</v>
      </c>
      <c r="B1201" s="1" t="s">
        <v>10</v>
      </c>
      <c r="C1201" s="2">
        <v>41155</v>
      </c>
      <c r="D1201" s="1">
        <v>10</v>
      </c>
      <c r="E1201" s="1" t="s">
        <v>47</v>
      </c>
      <c r="H1201" s="1" t="s">
        <v>54</v>
      </c>
      <c r="I1201" s="1" t="s">
        <v>12</v>
      </c>
      <c r="J1201" s="1" t="s">
        <v>40</v>
      </c>
      <c r="K1201" s="1" t="s">
        <v>14</v>
      </c>
      <c r="L1201" s="1" t="s">
        <v>12</v>
      </c>
      <c r="M1201" s="1" t="s">
        <v>12</v>
      </c>
      <c r="N1201" s="1">
        <v>36.18</v>
      </c>
      <c r="O1201" s="1" t="s">
        <v>20</v>
      </c>
      <c r="P1201" s="1">
        <v>21</v>
      </c>
      <c r="Q1201" s="1" t="s">
        <v>16</v>
      </c>
      <c r="R1201" s="1" t="str">
        <f>IF(N1201="","",VLOOKUP(N1201,Prior_levels,2,TRUE))</f>
        <v>H</v>
      </c>
    </row>
    <row r="1202" spans="1:18" x14ac:dyDescent="0.2">
      <c r="A1202" s="1" t="s">
        <v>142</v>
      </c>
      <c r="B1202" s="1" t="s">
        <v>10</v>
      </c>
      <c r="C1202" s="2">
        <v>41155</v>
      </c>
      <c r="D1202" s="1">
        <v>10</v>
      </c>
      <c r="E1202" s="1" t="s">
        <v>47</v>
      </c>
      <c r="H1202" s="1" t="s">
        <v>54</v>
      </c>
      <c r="I1202" s="1" t="s">
        <v>12</v>
      </c>
      <c r="J1202" s="1" t="s">
        <v>40</v>
      </c>
      <c r="K1202" s="1" t="s">
        <v>14</v>
      </c>
      <c r="L1202" s="1" t="s">
        <v>12</v>
      </c>
      <c r="M1202" s="1" t="s">
        <v>12</v>
      </c>
      <c r="N1202" s="1">
        <v>36.18</v>
      </c>
      <c r="O1202" s="1" t="s">
        <v>21</v>
      </c>
      <c r="P1202" s="1">
        <v>21</v>
      </c>
      <c r="Q1202" s="1" t="s">
        <v>16</v>
      </c>
      <c r="R1202" s="1" t="str">
        <f>IF(N1202="","",VLOOKUP(N1202,Prior_levels,2,TRUE))</f>
        <v>H</v>
      </c>
    </row>
    <row r="1203" spans="1:18" x14ac:dyDescent="0.2">
      <c r="A1203" s="1" t="s">
        <v>142</v>
      </c>
      <c r="B1203" s="1" t="s">
        <v>10</v>
      </c>
      <c r="C1203" s="2">
        <v>41155</v>
      </c>
      <c r="D1203" s="1">
        <v>10</v>
      </c>
      <c r="E1203" s="1" t="s">
        <v>47</v>
      </c>
      <c r="H1203" s="1" t="s">
        <v>54</v>
      </c>
      <c r="I1203" s="1" t="s">
        <v>12</v>
      </c>
      <c r="J1203" s="1" t="s">
        <v>40</v>
      </c>
      <c r="K1203" s="1" t="s">
        <v>14</v>
      </c>
      <c r="L1203" s="1" t="s">
        <v>12</v>
      </c>
      <c r="M1203" s="1" t="s">
        <v>12</v>
      </c>
      <c r="N1203" s="1">
        <v>36.18</v>
      </c>
      <c r="O1203" s="1" t="s">
        <v>26</v>
      </c>
      <c r="P1203" s="1">
        <v>12</v>
      </c>
      <c r="Q1203" s="1" t="s">
        <v>16</v>
      </c>
      <c r="R1203" s="1" t="str">
        <f>IF(N1203="","",VLOOKUP(N1203,Prior_levels,2,TRUE))</f>
        <v>H</v>
      </c>
    </row>
    <row r="1204" spans="1:18" x14ac:dyDescent="0.2">
      <c r="A1204" s="1" t="s">
        <v>142</v>
      </c>
      <c r="B1204" s="1" t="s">
        <v>10</v>
      </c>
      <c r="C1204" s="2">
        <v>41155</v>
      </c>
      <c r="D1204" s="1">
        <v>10</v>
      </c>
      <c r="E1204" s="1" t="s">
        <v>47</v>
      </c>
      <c r="H1204" s="1" t="s">
        <v>54</v>
      </c>
      <c r="I1204" s="1" t="s">
        <v>12</v>
      </c>
      <c r="J1204" s="1" t="s">
        <v>40</v>
      </c>
      <c r="K1204" s="1" t="s">
        <v>14</v>
      </c>
      <c r="L1204" s="1" t="s">
        <v>12</v>
      </c>
      <c r="M1204" s="1" t="s">
        <v>12</v>
      </c>
      <c r="N1204" s="1">
        <v>36.18</v>
      </c>
      <c r="O1204" s="1" t="s">
        <v>27</v>
      </c>
      <c r="P1204" s="1" t="s">
        <v>37</v>
      </c>
      <c r="Q1204" s="1" t="s">
        <v>16</v>
      </c>
      <c r="R1204" s="1" t="str">
        <f>IF(N1204="","",VLOOKUP(N1204,Prior_levels,2,TRUE))</f>
        <v>H</v>
      </c>
    </row>
    <row r="1205" spans="1:18" x14ac:dyDescent="0.2">
      <c r="A1205" s="1" t="s">
        <v>142</v>
      </c>
      <c r="B1205" s="1" t="s">
        <v>10</v>
      </c>
      <c r="C1205" s="2">
        <v>41155</v>
      </c>
      <c r="D1205" s="1">
        <v>10</v>
      </c>
      <c r="E1205" s="1" t="s">
        <v>47</v>
      </c>
      <c r="H1205" s="1" t="s">
        <v>54</v>
      </c>
      <c r="I1205" s="1" t="s">
        <v>12</v>
      </c>
      <c r="J1205" s="1" t="s">
        <v>40</v>
      </c>
      <c r="K1205" s="1" t="s">
        <v>14</v>
      </c>
      <c r="L1205" s="1" t="s">
        <v>12</v>
      </c>
      <c r="M1205" s="1" t="s">
        <v>12</v>
      </c>
      <c r="N1205" s="1">
        <v>36.18</v>
      </c>
      <c r="O1205" s="1" t="s">
        <v>29</v>
      </c>
      <c r="P1205" s="1" t="s">
        <v>37</v>
      </c>
      <c r="Q1205" s="1" t="s">
        <v>16</v>
      </c>
      <c r="R1205" s="1" t="str">
        <f>IF(N1205="","",VLOOKUP(N1205,Prior_levels,2,TRUE))</f>
        <v>H</v>
      </c>
    </row>
    <row r="1206" spans="1:18" x14ac:dyDescent="0.2">
      <c r="A1206" s="1" t="s">
        <v>142</v>
      </c>
      <c r="B1206" s="1" t="s">
        <v>10</v>
      </c>
      <c r="C1206" s="2">
        <v>41155</v>
      </c>
      <c r="D1206" s="1">
        <v>10</v>
      </c>
      <c r="E1206" s="1" t="s">
        <v>47</v>
      </c>
      <c r="H1206" s="1" t="s">
        <v>54</v>
      </c>
      <c r="I1206" s="1" t="s">
        <v>12</v>
      </c>
      <c r="J1206" s="1" t="s">
        <v>40</v>
      </c>
      <c r="K1206" s="1" t="s">
        <v>14</v>
      </c>
      <c r="L1206" s="1" t="s">
        <v>12</v>
      </c>
      <c r="M1206" s="1" t="s">
        <v>12</v>
      </c>
      <c r="N1206" s="1">
        <v>36.18</v>
      </c>
      <c r="O1206" s="1" t="s">
        <v>30</v>
      </c>
      <c r="P1206" s="1" t="s">
        <v>37</v>
      </c>
      <c r="Q1206" s="1" t="s">
        <v>16</v>
      </c>
      <c r="R1206" s="1" t="str">
        <f>IF(N1206="","",VLOOKUP(N1206,Prior_levels,2,TRUE))</f>
        <v>H</v>
      </c>
    </row>
    <row r="1207" spans="1:18" x14ac:dyDescent="0.2">
      <c r="A1207" s="1" t="s">
        <v>142</v>
      </c>
      <c r="B1207" s="1" t="s">
        <v>10</v>
      </c>
      <c r="C1207" s="2">
        <v>41155</v>
      </c>
      <c r="D1207" s="1">
        <v>10</v>
      </c>
      <c r="E1207" s="1" t="s">
        <v>47</v>
      </c>
      <c r="H1207" s="1" t="s">
        <v>54</v>
      </c>
      <c r="I1207" s="1" t="s">
        <v>12</v>
      </c>
      <c r="J1207" s="1" t="s">
        <v>40</v>
      </c>
      <c r="K1207" s="1" t="s">
        <v>14</v>
      </c>
      <c r="L1207" s="1" t="s">
        <v>12</v>
      </c>
      <c r="M1207" s="1" t="s">
        <v>12</v>
      </c>
      <c r="N1207" s="1">
        <v>36.18</v>
      </c>
      <c r="O1207" s="1" t="s">
        <v>31</v>
      </c>
      <c r="P1207" s="1" t="s">
        <v>37</v>
      </c>
      <c r="Q1207" s="1" t="s">
        <v>16</v>
      </c>
      <c r="R1207" s="1" t="str">
        <f>IF(N1207="","",VLOOKUP(N1207,Prior_levels,2,TRUE))</f>
        <v>H</v>
      </c>
    </row>
    <row r="1208" spans="1:18" x14ac:dyDescent="0.2">
      <c r="A1208" s="1" t="s">
        <v>142</v>
      </c>
      <c r="B1208" s="1" t="s">
        <v>10</v>
      </c>
      <c r="C1208" s="2">
        <v>41155</v>
      </c>
      <c r="D1208" s="1">
        <v>10</v>
      </c>
      <c r="E1208" s="1" t="s">
        <v>47</v>
      </c>
      <c r="H1208" s="1" t="s">
        <v>54</v>
      </c>
      <c r="I1208" s="1" t="s">
        <v>12</v>
      </c>
      <c r="J1208" s="1" t="s">
        <v>40</v>
      </c>
      <c r="K1208" s="1" t="s">
        <v>14</v>
      </c>
      <c r="L1208" s="1" t="s">
        <v>12</v>
      </c>
      <c r="M1208" s="1" t="s">
        <v>12</v>
      </c>
      <c r="N1208" s="1">
        <v>36.18</v>
      </c>
      <c r="O1208" s="1" t="s">
        <v>32</v>
      </c>
      <c r="P1208" s="1" t="s">
        <v>37</v>
      </c>
      <c r="Q1208" s="1" t="s">
        <v>16</v>
      </c>
      <c r="R1208" s="1" t="str">
        <f>IF(N1208="","",VLOOKUP(N1208,Prior_levels,2,TRUE))</f>
        <v>H</v>
      </c>
    </row>
    <row r="1209" spans="1:18" x14ac:dyDescent="0.2">
      <c r="A1209" s="1" t="s">
        <v>143</v>
      </c>
      <c r="B1209" s="1" t="s">
        <v>10</v>
      </c>
      <c r="C1209" s="2">
        <v>41155</v>
      </c>
      <c r="D1209" s="1">
        <v>10</v>
      </c>
      <c r="E1209" s="1" t="s">
        <v>47</v>
      </c>
      <c r="I1209" s="1" t="s">
        <v>12</v>
      </c>
      <c r="J1209" s="1" t="s">
        <v>40</v>
      </c>
      <c r="K1209" s="1" t="s">
        <v>14</v>
      </c>
      <c r="L1209" s="1" t="s">
        <v>12</v>
      </c>
      <c r="M1209" s="1" t="s">
        <v>12</v>
      </c>
      <c r="N1209" s="1">
        <v>21.12</v>
      </c>
      <c r="O1209" s="1" t="s">
        <v>15</v>
      </c>
      <c r="P1209" s="1">
        <v>2.9</v>
      </c>
      <c r="Q1209" s="1" t="s">
        <v>16</v>
      </c>
      <c r="R1209" s="1" t="str">
        <f>IF(N1209="","",VLOOKUP(N1209,Prior_levels,2,TRUE))</f>
        <v>L</v>
      </c>
    </row>
    <row r="1210" spans="1:18" x14ac:dyDescent="0.2">
      <c r="A1210" s="1" t="s">
        <v>143</v>
      </c>
      <c r="B1210" s="1" t="s">
        <v>10</v>
      </c>
      <c r="C1210" s="2">
        <v>41155</v>
      </c>
      <c r="D1210" s="1">
        <v>10</v>
      </c>
      <c r="E1210" s="1" t="s">
        <v>47</v>
      </c>
      <c r="I1210" s="1" t="s">
        <v>12</v>
      </c>
      <c r="J1210" s="1" t="s">
        <v>40</v>
      </c>
      <c r="K1210" s="1" t="s">
        <v>14</v>
      </c>
      <c r="L1210" s="1" t="s">
        <v>12</v>
      </c>
      <c r="M1210" s="1" t="s">
        <v>12</v>
      </c>
      <c r="N1210" s="1">
        <v>21.12</v>
      </c>
      <c r="O1210" s="1" t="s">
        <v>17</v>
      </c>
      <c r="P1210" s="1">
        <v>7.0000000000000007E-2</v>
      </c>
      <c r="Q1210" s="1" t="s">
        <v>16</v>
      </c>
      <c r="R1210" s="1" t="str">
        <f>IF(N1210="","",VLOOKUP(N1210,Prior_levels,2,TRUE))</f>
        <v>L</v>
      </c>
    </row>
    <row r="1211" spans="1:18" x14ac:dyDescent="0.2">
      <c r="A1211" s="1" t="s">
        <v>143</v>
      </c>
      <c r="B1211" s="1" t="s">
        <v>10</v>
      </c>
      <c r="C1211" s="2">
        <v>41155</v>
      </c>
      <c r="D1211" s="1">
        <v>10</v>
      </c>
      <c r="E1211" s="1" t="s">
        <v>47</v>
      </c>
      <c r="I1211" s="1" t="s">
        <v>12</v>
      </c>
      <c r="J1211" s="1" t="s">
        <v>40</v>
      </c>
      <c r="K1211" s="1" t="s">
        <v>14</v>
      </c>
      <c r="L1211" s="1" t="s">
        <v>12</v>
      </c>
      <c r="M1211" s="1" t="s">
        <v>12</v>
      </c>
      <c r="N1211" s="1">
        <v>21.12</v>
      </c>
      <c r="O1211" s="1" t="s">
        <v>18</v>
      </c>
      <c r="P1211" s="1">
        <v>8</v>
      </c>
      <c r="Q1211" s="1" t="s">
        <v>16</v>
      </c>
      <c r="R1211" s="1" t="str">
        <f>IF(N1211="","",VLOOKUP(N1211,Prior_levels,2,TRUE))</f>
        <v>L</v>
      </c>
    </row>
    <row r="1212" spans="1:18" x14ac:dyDescent="0.2">
      <c r="A1212" s="1" t="s">
        <v>143</v>
      </c>
      <c r="B1212" s="1" t="s">
        <v>10</v>
      </c>
      <c r="C1212" s="2">
        <v>41155</v>
      </c>
      <c r="D1212" s="1">
        <v>10</v>
      </c>
      <c r="E1212" s="1" t="s">
        <v>47</v>
      </c>
      <c r="I1212" s="1" t="s">
        <v>12</v>
      </c>
      <c r="J1212" s="1" t="s">
        <v>40</v>
      </c>
      <c r="K1212" s="1" t="s">
        <v>14</v>
      </c>
      <c r="L1212" s="1" t="s">
        <v>12</v>
      </c>
      <c r="M1212" s="1" t="s">
        <v>12</v>
      </c>
      <c r="N1212" s="1">
        <v>21.12</v>
      </c>
      <c r="O1212" s="1" t="s">
        <v>19</v>
      </c>
      <c r="P1212" s="1">
        <v>6</v>
      </c>
      <c r="Q1212" s="1" t="s">
        <v>16</v>
      </c>
      <c r="R1212" s="1" t="str">
        <f>IF(N1212="","",VLOOKUP(N1212,Prior_levels,2,TRUE))</f>
        <v>L</v>
      </c>
    </row>
    <row r="1213" spans="1:18" x14ac:dyDescent="0.2">
      <c r="A1213" s="1" t="s">
        <v>143</v>
      </c>
      <c r="B1213" s="1" t="s">
        <v>10</v>
      </c>
      <c r="C1213" s="2">
        <v>41155</v>
      </c>
      <c r="D1213" s="1">
        <v>10</v>
      </c>
      <c r="E1213" s="1" t="s">
        <v>47</v>
      </c>
      <c r="I1213" s="1" t="s">
        <v>12</v>
      </c>
      <c r="J1213" s="1" t="s">
        <v>40</v>
      </c>
      <c r="K1213" s="1" t="s">
        <v>14</v>
      </c>
      <c r="L1213" s="1" t="s">
        <v>12</v>
      </c>
      <c r="M1213" s="1" t="s">
        <v>12</v>
      </c>
      <c r="N1213" s="1">
        <v>21.12</v>
      </c>
      <c r="O1213" s="1" t="s">
        <v>20</v>
      </c>
      <c r="P1213" s="1">
        <v>7</v>
      </c>
      <c r="Q1213" s="1" t="s">
        <v>16</v>
      </c>
      <c r="R1213" s="1" t="str">
        <f>IF(N1213="","",VLOOKUP(N1213,Prior_levels,2,TRUE))</f>
        <v>L</v>
      </c>
    </row>
    <row r="1214" spans="1:18" x14ac:dyDescent="0.2">
      <c r="A1214" s="1" t="s">
        <v>143</v>
      </c>
      <c r="B1214" s="1" t="s">
        <v>10</v>
      </c>
      <c r="C1214" s="2">
        <v>41155</v>
      </c>
      <c r="D1214" s="1">
        <v>10</v>
      </c>
      <c r="E1214" s="1" t="s">
        <v>47</v>
      </c>
      <c r="I1214" s="1" t="s">
        <v>12</v>
      </c>
      <c r="J1214" s="1" t="s">
        <v>40</v>
      </c>
      <c r="K1214" s="1" t="s">
        <v>14</v>
      </c>
      <c r="L1214" s="1" t="s">
        <v>12</v>
      </c>
      <c r="M1214" s="1" t="s">
        <v>12</v>
      </c>
      <c r="N1214" s="1">
        <v>21.12</v>
      </c>
      <c r="O1214" s="1" t="s">
        <v>21</v>
      </c>
      <c r="P1214" s="1">
        <v>8</v>
      </c>
      <c r="Q1214" s="1" t="s">
        <v>16</v>
      </c>
      <c r="R1214" s="1" t="str">
        <f>IF(N1214="","",VLOOKUP(N1214,Prior_levels,2,TRUE))</f>
        <v>L</v>
      </c>
    </row>
    <row r="1215" spans="1:18" x14ac:dyDescent="0.2">
      <c r="A1215" s="1" t="s">
        <v>143</v>
      </c>
      <c r="B1215" s="1" t="s">
        <v>10</v>
      </c>
      <c r="C1215" s="2">
        <v>41155</v>
      </c>
      <c r="D1215" s="1">
        <v>10</v>
      </c>
      <c r="E1215" s="1" t="s">
        <v>47</v>
      </c>
      <c r="I1215" s="1" t="s">
        <v>12</v>
      </c>
      <c r="J1215" s="1" t="s">
        <v>40</v>
      </c>
      <c r="K1215" s="1" t="s">
        <v>14</v>
      </c>
      <c r="L1215" s="1" t="s">
        <v>12</v>
      </c>
      <c r="M1215" s="1" t="s">
        <v>12</v>
      </c>
      <c r="N1215" s="1">
        <v>21.12</v>
      </c>
      <c r="O1215" s="1" t="s">
        <v>22</v>
      </c>
      <c r="P1215" s="1">
        <v>0.34</v>
      </c>
      <c r="Q1215" s="1" t="s">
        <v>16</v>
      </c>
      <c r="R1215" s="1" t="str">
        <f>IF(N1215="","",VLOOKUP(N1215,Prior_levels,2,TRUE))</f>
        <v>L</v>
      </c>
    </row>
    <row r="1216" spans="1:18" x14ac:dyDescent="0.2">
      <c r="A1216" s="1" t="s">
        <v>143</v>
      </c>
      <c r="B1216" s="1" t="s">
        <v>10</v>
      </c>
      <c r="C1216" s="2">
        <v>41155</v>
      </c>
      <c r="D1216" s="1">
        <v>10</v>
      </c>
      <c r="E1216" s="1" t="s">
        <v>47</v>
      </c>
      <c r="I1216" s="1" t="s">
        <v>12</v>
      </c>
      <c r="J1216" s="1" t="s">
        <v>40</v>
      </c>
      <c r="K1216" s="1" t="s">
        <v>14</v>
      </c>
      <c r="L1216" s="1" t="s">
        <v>12</v>
      </c>
      <c r="M1216" s="1" t="s">
        <v>12</v>
      </c>
      <c r="N1216" s="1">
        <v>21.12</v>
      </c>
      <c r="O1216" s="1" t="s">
        <v>23</v>
      </c>
      <c r="P1216" s="1">
        <v>0.39</v>
      </c>
      <c r="Q1216" s="1" t="s">
        <v>16</v>
      </c>
      <c r="R1216" s="1" t="str">
        <f>IF(N1216="","",VLOOKUP(N1216,Prior_levels,2,TRUE))</f>
        <v>L</v>
      </c>
    </row>
    <row r="1217" spans="1:18" x14ac:dyDescent="0.2">
      <c r="A1217" s="1" t="s">
        <v>143</v>
      </c>
      <c r="B1217" s="1" t="s">
        <v>10</v>
      </c>
      <c r="C1217" s="2">
        <v>41155</v>
      </c>
      <c r="D1217" s="1">
        <v>10</v>
      </c>
      <c r="E1217" s="1" t="s">
        <v>47</v>
      </c>
      <c r="I1217" s="1" t="s">
        <v>12</v>
      </c>
      <c r="J1217" s="1" t="s">
        <v>40</v>
      </c>
      <c r="K1217" s="1" t="s">
        <v>14</v>
      </c>
      <c r="L1217" s="1" t="s">
        <v>12</v>
      </c>
      <c r="M1217" s="1" t="s">
        <v>12</v>
      </c>
      <c r="N1217" s="1">
        <v>21.12</v>
      </c>
      <c r="O1217" s="1" t="s">
        <v>24</v>
      </c>
      <c r="P1217" s="1">
        <v>2.4900000000000002</v>
      </c>
      <c r="Q1217" s="1" t="s">
        <v>16</v>
      </c>
      <c r="R1217" s="1" t="str">
        <f>IF(N1217="","",VLOOKUP(N1217,Prior_levels,2,TRUE))</f>
        <v>L</v>
      </c>
    </row>
    <row r="1218" spans="1:18" x14ac:dyDescent="0.2">
      <c r="A1218" s="1" t="s">
        <v>143</v>
      </c>
      <c r="B1218" s="1" t="s">
        <v>10</v>
      </c>
      <c r="C1218" s="2">
        <v>41155</v>
      </c>
      <c r="D1218" s="1">
        <v>10</v>
      </c>
      <c r="E1218" s="1" t="s">
        <v>47</v>
      </c>
      <c r="I1218" s="1" t="s">
        <v>12</v>
      </c>
      <c r="J1218" s="1" t="s">
        <v>40</v>
      </c>
      <c r="K1218" s="1" t="s">
        <v>14</v>
      </c>
      <c r="L1218" s="1" t="s">
        <v>12</v>
      </c>
      <c r="M1218" s="1" t="s">
        <v>12</v>
      </c>
      <c r="N1218" s="1">
        <v>21.12</v>
      </c>
      <c r="O1218" s="1" t="s">
        <v>25</v>
      </c>
      <c r="P1218" s="1">
        <v>-3.2</v>
      </c>
      <c r="Q1218" s="1" t="s">
        <v>16</v>
      </c>
      <c r="R1218" s="1" t="str">
        <f>IF(N1218="","",VLOOKUP(N1218,Prior_levels,2,TRUE))</f>
        <v>L</v>
      </c>
    </row>
    <row r="1219" spans="1:18" x14ac:dyDescent="0.2">
      <c r="A1219" s="1" t="s">
        <v>143</v>
      </c>
      <c r="B1219" s="1" t="s">
        <v>10</v>
      </c>
      <c r="C1219" s="2">
        <v>41155</v>
      </c>
      <c r="D1219" s="1">
        <v>10</v>
      </c>
      <c r="E1219" s="1" t="s">
        <v>47</v>
      </c>
      <c r="I1219" s="1" t="s">
        <v>12</v>
      </c>
      <c r="J1219" s="1" t="s">
        <v>40</v>
      </c>
      <c r="K1219" s="1" t="s">
        <v>14</v>
      </c>
      <c r="L1219" s="1" t="s">
        <v>12</v>
      </c>
      <c r="M1219" s="1" t="s">
        <v>12</v>
      </c>
      <c r="N1219" s="1">
        <v>21.12</v>
      </c>
      <c r="O1219" s="1" t="s">
        <v>26</v>
      </c>
      <c r="P1219" s="1">
        <v>0</v>
      </c>
      <c r="Q1219" s="1" t="s">
        <v>16</v>
      </c>
      <c r="R1219" s="1" t="str">
        <f>IF(N1219="","",VLOOKUP(N1219,Prior_levels,2,TRUE))</f>
        <v>L</v>
      </c>
    </row>
    <row r="1220" spans="1:18" x14ac:dyDescent="0.2">
      <c r="A1220" s="1" t="s">
        <v>143</v>
      </c>
      <c r="B1220" s="1" t="s">
        <v>10</v>
      </c>
      <c r="C1220" s="2">
        <v>41155</v>
      </c>
      <c r="D1220" s="1">
        <v>10</v>
      </c>
      <c r="E1220" s="1" t="s">
        <v>47</v>
      </c>
      <c r="I1220" s="1" t="s">
        <v>12</v>
      </c>
      <c r="J1220" s="1" t="s">
        <v>40</v>
      </c>
      <c r="K1220" s="1" t="s">
        <v>14</v>
      </c>
      <c r="L1220" s="1" t="s">
        <v>12</v>
      </c>
      <c r="M1220" s="1" t="s">
        <v>12</v>
      </c>
      <c r="N1220" s="1">
        <v>21.12</v>
      </c>
      <c r="O1220" s="1" t="s">
        <v>27</v>
      </c>
      <c r="P1220" s="1" t="s">
        <v>28</v>
      </c>
      <c r="Q1220" s="1" t="s">
        <v>16</v>
      </c>
      <c r="R1220" s="1" t="str">
        <f>IF(N1220="","",VLOOKUP(N1220,Prior_levels,2,TRUE))</f>
        <v>L</v>
      </c>
    </row>
    <row r="1221" spans="1:18" x14ac:dyDescent="0.2">
      <c r="A1221" s="1" t="s">
        <v>143</v>
      </c>
      <c r="B1221" s="1" t="s">
        <v>10</v>
      </c>
      <c r="C1221" s="2">
        <v>41155</v>
      </c>
      <c r="D1221" s="1">
        <v>10</v>
      </c>
      <c r="E1221" s="1" t="s">
        <v>47</v>
      </c>
      <c r="I1221" s="1" t="s">
        <v>12</v>
      </c>
      <c r="J1221" s="1" t="s">
        <v>40</v>
      </c>
      <c r="K1221" s="1" t="s">
        <v>14</v>
      </c>
      <c r="L1221" s="1" t="s">
        <v>12</v>
      </c>
      <c r="M1221" s="1" t="s">
        <v>12</v>
      </c>
      <c r="N1221" s="1">
        <v>21.12</v>
      </c>
      <c r="O1221" s="1" t="s">
        <v>29</v>
      </c>
      <c r="P1221" s="1" t="s">
        <v>28</v>
      </c>
      <c r="Q1221" s="1" t="s">
        <v>16</v>
      </c>
      <c r="R1221" s="1" t="str">
        <f>IF(N1221="","",VLOOKUP(N1221,Prior_levels,2,TRUE))</f>
        <v>L</v>
      </c>
    </row>
    <row r="1222" spans="1:18" x14ac:dyDescent="0.2">
      <c r="A1222" s="1" t="s">
        <v>143</v>
      </c>
      <c r="B1222" s="1" t="s">
        <v>10</v>
      </c>
      <c r="C1222" s="2">
        <v>41155</v>
      </c>
      <c r="D1222" s="1">
        <v>10</v>
      </c>
      <c r="E1222" s="1" t="s">
        <v>47</v>
      </c>
      <c r="I1222" s="1" t="s">
        <v>12</v>
      </c>
      <c r="J1222" s="1" t="s">
        <v>40</v>
      </c>
      <c r="K1222" s="1" t="s">
        <v>14</v>
      </c>
      <c r="L1222" s="1" t="s">
        <v>12</v>
      </c>
      <c r="M1222" s="1" t="s">
        <v>12</v>
      </c>
      <c r="N1222" s="1">
        <v>21.12</v>
      </c>
      <c r="O1222" s="1" t="s">
        <v>30</v>
      </c>
      <c r="P1222" s="1" t="s">
        <v>28</v>
      </c>
      <c r="Q1222" s="1" t="s">
        <v>16</v>
      </c>
      <c r="R1222" s="1" t="str">
        <f>IF(N1222="","",VLOOKUP(N1222,Prior_levels,2,TRUE))</f>
        <v>L</v>
      </c>
    </row>
    <row r="1223" spans="1:18" x14ac:dyDescent="0.2">
      <c r="A1223" s="1" t="s">
        <v>143</v>
      </c>
      <c r="B1223" s="1" t="s">
        <v>10</v>
      </c>
      <c r="C1223" s="2">
        <v>41155</v>
      </c>
      <c r="D1223" s="1">
        <v>10</v>
      </c>
      <c r="E1223" s="1" t="s">
        <v>47</v>
      </c>
      <c r="I1223" s="1" t="s">
        <v>12</v>
      </c>
      <c r="J1223" s="1" t="s">
        <v>40</v>
      </c>
      <c r="K1223" s="1" t="s">
        <v>14</v>
      </c>
      <c r="L1223" s="1" t="s">
        <v>12</v>
      </c>
      <c r="M1223" s="1" t="s">
        <v>12</v>
      </c>
      <c r="N1223" s="1">
        <v>21.12</v>
      </c>
      <c r="O1223" s="1" t="s">
        <v>31</v>
      </c>
      <c r="P1223" s="1" t="s">
        <v>28</v>
      </c>
      <c r="Q1223" s="1" t="s">
        <v>16</v>
      </c>
      <c r="R1223" s="1" t="str">
        <f>IF(N1223="","",VLOOKUP(N1223,Prior_levels,2,TRUE))</f>
        <v>L</v>
      </c>
    </row>
    <row r="1224" spans="1:18" x14ac:dyDescent="0.2">
      <c r="A1224" s="1" t="s">
        <v>143</v>
      </c>
      <c r="B1224" s="1" t="s">
        <v>10</v>
      </c>
      <c r="C1224" s="2">
        <v>41155</v>
      </c>
      <c r="D1224" s="1">
        <v>10</v>
      </c>
      <c r="E1224" s="1" t="s">
        <v>47</v>
      </c>
      <c r="I1224" s="1" t="s">
        <v>12</v>
      </c>
      <c r="J1224" s="1" t="s">
        <v>40</v>
      </c>
      <c r="K1224" s="1" t="s">
        <v>14</v>
      </c>
      <c r="L1224" s="1" t="s">
        <v>12</v>
      </c>
      <c r="M1224" s="1" t="s">
        <v>12</v>
      </c>
      <c r="N1224" s="1">
        <v>21.12</v>
      </c>
      <c r="O1224" s="1" t="s">
        <v>32</v>
      </c>
      <c r="P1224" s="1" t="s">
        <v>28</v>
      </c>
      <c r="Q1224" s="1" t="s">
        <v>16</v>
      </c>
      <c r="R1224" s="1" t="str">
        <f>IF(N1224="","",VLOOKUP(N1224,Prior_levels,2,TRUE))</f>
        <v>L</v>
      </c>
    </row>
    <row r="1225" spans="1:18" x14ac:dyDescent="0.2">
      <c r="A1225" s="1" t="s">
        <v>144</v>
      </c>
      <c r="B1225" s="1" t="s">
        <v>12</v>
      </c>
      <c r="C1225" s="2">
        <v>41155</v>
      </c>
      <c r="D1225" s="1">
        <v>10</v>
      </c>
      <c r="E1225" s="1" t="s">
        <v>34</v>
      </c>
      <c r="I1225" s="1" t="s">
        <v>12</v>
      </c>
      <c r="J1225" s="1" t="s">
        <v>145</v>
      </c>
      <c r="K1225" s="1" t="s">
        <v>14</v>
      </c>
      <c r="L1225" s="1" t="s">
        <v>12</v>
      </c>
      <c r="M1225" s="1" t="s">
        <v>12</v>
      </c>
      <c r="N1225" s="1">
        <v>30.18</v>
      </c>
      <c r="O1225" s="1" t="s">
        <v>15</v>
      </c>
      <c r="P1225" s="1">
        <v>5.0999999999999996</v>
      </c>
      <c r="Q1225" s="1" t="s">
        <v>16</v>
      </c>
      <c r="R1225" s="1" t="str">
        <f>IF(N1225="","",VLOOKUP(N1225,Prior_levels,2,TRUE))</f>
        <v>H</v>
      </c>
    </row>
    <row r="1226" spans="1:18" x14ac:dyDescent="0.2">
      <c r="A1226" s="1" t="s">
        <v>144</v>
      </c>
      <c r="B1226" s="1" t="s">
        <v>12</v>
      </c>
      <c r="C1226" s="2">
        <v>41155</v>
      </c>
      <c r="D1226" s="1">
        <v>10</v>
      </c>
      <c r="E1226" s="1" t="s">
        <v>34</v>
      </c>
      <c r="I1226" s="1" t="s">
        <v>12</v>
      </c>
      <c r="J1226" s="1" t="s">
        <v>145</v>
      </c>
      <c r="K1226" s="1" t="s">
        <v>14</v>
      </c>
      <c r="L1226" s="1" t="s">
        <v>12</v>
      </c>
      <c r="M1226" s="1" t="s">
        <v>12</v>
      </c>
      <c r="N1226" s="1">
        <v>30.18</v>
      </c>
      <c r="O1226" s="1" t="s">
        <v>17</v>
      </c>
      <c r="P1226" s="1">
        <v>-0.49</v>
      </c>
      <c r="Q1226" s="1" t="s">
        <v>16</v>
      </c>
      <c r="R1226" s="1" t="str">
        <f>IF(N1226="","",VLOOKUP(N1226,Prior_levels,2,TRUE))</f>
        <v>H</v>
      </c>
    </row>
    <row r="1227" spans="1:18" x14ac:dyDescent="0.2">
      <c r="A1227" s="1" t="s">
        <v>144</v>
      </c>
      <c r="B1227" s="1" t="s">
        <v>12</v>
      </c>
      <c r="C1227" s="2">
        <v>41155</v>
      </c>
      <c r="D1227" s="1">
        <v>10</v>
      </c>
      <c r="E1227" s="1" t="s">
        <v>34</v>
      </c>
      <c r="I1227" s="1" t="s">
        <v>12</v>
      </c>
      <c r="J1227" s="1" t="s">
        <v>145</v>
      </c>
      <c r="K1227" s="1" t="s">
        <v>14</v>
      </c>
      <c r="L1227" s="1" t="s">
        <v>12</v>
      </c>
      <c r="M1227" s="1" t="s">
        <v>12</v>
      </c>
      <c r="N1227" s="1">
        <v>30.18</v>
      </c>
      <c r="O1227" s="1" t="s">
        <v>18</v>
      </c>
      <c r="P1227" s="1">
        <v>12</v>
      </c>
      <c r="Q1227" s="1" t="s">
        <v>16</v>
      </c>
      <c r="R1227" s="1" t="str">
        <f>IF(N1227="","",VLOOKUP(N1227,Prior_levels,2,TRUE))</f>
        <v>H</v>
      </c>
    </row>
    <row r="1228" spans="1:18" x14ac:dyDescent="0.2">
      <c r="A1228" s="1" t="s">
        <v>144</v>
      </c>
      <c r="B1228" s="1" t="s">
        <v>12</v>
      </c>
      <c r="C1228" s="2">
        <v>41155</v>
      </c>
      <c r="D1228" s="1">
        <v>10</v>
      </c>
      <c r="E1228" s="1" t="s">
        <v>34</v>
      </c>
      <c r="I1228" s="1" t="s">
        <v>12</v>
      </c>
      <c r="J1228" s="1" t="s">
        <v>145</v>
      </c>
      <c r="K1228" s="1" t="s">
        <v>14</v>
      </c>
      <c r="L1228" s="1" t="s">
        <v>12</v>
      </c>
      <c r="M1228" s="1" t="s">
        <v>12</v>
      </c>
      <c r="N1228" s="1">
        <v>30.18</v>
      </c>
      <c r="O1228" s="1" t="s">
        <v>19</v>
      </c>
      <c r="P1228" s="1">
        <v>10</v>
      </c>
      <c r="Q1228" s="1" t="s">
        <v>16</v>
      </c>
      <c r="R1228" s="1" t="str">
        <f>IF(N1228="","",VLOOKUP(N1228,Prior_levels,2,TRUE))</f>
        <v>H</v>
      </c>
    </row>
    <row r="1229" spans="1:18" x14ac:dyDescent="0.2">
      <c r="A1229" s="1" t="s">
        <v>144</v>
      </c>
      <c r="B1229" s="1" t="s">
        <v>12</v>
      </c>
      <c r="C1229" s="2">
        <v>41155</v>
      </c>
      <c r="D1229" s="1">
        <v>10</v>
      </c>
      <c r="E1229" s="1" t="s">
        <v>34</v>
      </c>
      <c r="I1229" s="1" t="s">
        <v>12</v>
      </c>
      <c r="J1229" s="1" t="s">
        <v>145</v>
      </c>
      <c r="K1229" s="1" t="s">
        <v>14</v>
      </c>
      <c r="L1229" s="1" t="s">
        <v>12</v>
      </c>
      <c r="M1229" s="1" t="s">
        <v>12</v>
      </c>
      <c r="N1229" s="1">
        <v>30.18</v>
      </c>
      <c r="O1229" s="1" t="s">
        <v>20</v>
      </c>
      <c r="P1229" s="1">
        <v>15</v>
      </c>
      <c r="Q1229" s="1" t="s">
        <v>16</v>
      </c>
      <c r="R1229" s="1" t="str">
        <f>IF(N1229="","",VLOOKUP(N1229,Prior_levels,2,TRUE))</f>
        <v>H</v>
      </c>
    </row>
    <row r="1230" spans="1:18" x14ac:dyDescent="0.2">
      <c r="A1230" s="1" t="s">
        <v>144</v>
      </c>
      <c r="B1230" s="1" t="s">
        <v>12</v>
      </c>
      <c r="C1230" s="2">
        <v>41155</v>
      </c>
      <c r="D1230" s="1">
        <v>10</v>
      </c>
      <c r="E1230" s="1" t="s">
        <v>34</v>
      </c>
      <c r="I1230" s="1" t="s">
        <v>12</v>
      </c>
      <c r="J1230" s="1" t="s">
        <v>145</v>
      </c>
      <c r="K1230" s="1" t="s">
        <v>14</v>
      </c>
      <c r="L1230" s="1" t="s">
        <v>12</v>
      </c>
      <c r="M1230" s="1" t="s">
        <v>12</v>
      </c>
      <c r="N1230" s="1">
        <v>30.18</v>
      </c>
      <c r="O1230" s="1" t="s">
        <v>21</v>
      </c>
      <c r="P1230" s="1">
        <v>14</v>
      </c>
      <c r="Q1230" s="1" t="s">
        <v>16</v>
      </c>
      <c r="R1230" s="1" t="str">
        <f>IF(N1230="","",VLOOKUP(N1230,Prior_levels,2,TRUE))</f>
        <v>H</v>
      </c>
    </row>
    <row r="1231" spans="1:18" x14ac:dyDescent="0.2">
      <c r="A1231" s="1" t="s">
        <v>144</v>
      </c>
      <c r="B1231" s="1" t="s">
        <v>12</v>
      </c>
      <c r="C1231" s="2">
        <v>41155</v>
      </c>
      <c r="D1231" s="1">
        <v>10</v>
      </c>
      <c r="E1231" s="1" t="s">
        <v>34</v>
      </c>
      <c r="I1231" s="1" t="s">
        <v>12</v>
      </c>
      <c r="J1231" s="1" t="s">
        <v>145</v>
      </c>
      <c r="K1231" s="1" t="s">
        <v>14</v>
      </c>
      <c r="L1231" s="1" t="s">
        <v>12</v>
      </c>
      <c r="M1231" s="1" t="s">
        <v>12</v>
      </c>
      <c r="N1231" s="1">
        <v>30.18</v>
      </c>
      <c r="O1231" s="1" t="s">
        <v>22</v>
      </c>
      <c r="P1231" s="1">
        <v>0.15</v>
      </c>
      <c r="Q1231" s="1" t="s">
        <v>16</v>
      </c>
      <c r="R1231" s="1" t="str">
        <f>IF(N1231="","",VLOOKUP(N1231,Prior_levels,2,TRUE))</f>
        <v>H</v>
      </c>
    </row>
    <row r="1232" spans="1:18" x14ac:dyDescent="0.2">
      <c r="A1232" s="1" t="s">
        <v>144</v>
      </c>
      <c r="B1232" s="1" t="s">
        <v>12</v>
      </c>
      <c r="C1232" s="2">
        <v>41155</v>
      </c>
      <c r="D1232" s="1">
        <v>10</v>
      </c>
      <c r="E1232" s="1" t="s">
        <v>34</v>
      </c>
      <c r="I1232" s="1" t="s">
        <v>12</v>
      </c>
      <c r="J1232" s="1" t="s">
        <v>145</v>
      </c>
      <c r="K1232" s="1" t="s">
        <v>14</v>
      </c>
      <c r="L1232" s="1" t="s">
        <v>12</v>
      </c>
      <c r="M1232" s="1" t="s">
        <v>12</v>
      </c>
      <c r="N1232" s="1">
        <v>30.18</v>
      </c>
      <c r="O1232" s="1" t="s">
        <v>23</v>
      </c>
      <c r="P1232" s="1">
        <v>-0.63</v>
      </c>
      <c r="Q1232" s="1" t="s">
        <v>16</v>
      </c>
      <c r="R1232" s="1" t="str">
        <f>IF(N1232="","",VLOOKUP(N1232,Prior_levels,2,TRUE))</f>
        <v>H</v>
      </c>
    </row>
    <row r="1233" spans="1:18" x14ac:dyDescent="0.2">
      <c r="A1233" s="1" t="s">
        <v>144</v>
      </c>
      <c r="B1233" s="1" t="s">
        <v>12</v>
      </c>
      <c r="C1233" s="2">
        <v>41155</v>
      </c>
      <c r="D1233" s="1">
        <v>10</v>
      </c>
      <c r="E1233" s="1" t="s">
        <v>34</v>
      </c>
      <c r="I1233" s="1" t="s">
        <v>12</v>
      </c>
      <c r="J1233" s="1" t="s">
        <v>145</v>
      </c>
      <c r="K1233" s="1" t="s">
        <v>14</v>
      </c>
      <c r="L1233" s="1" t="s">
        <v>12</v>
      </c>
      <c r="M1233" s="1" t="s">
        <v>12</v>
      </c>
      <c r="N1233" s="1">
        <v>30.18</v>
      </c>
      <c r="O1233" s="1" t="s">
        <v>25</v>
      </c>
      <c r="P1233" s="1">
        <v>-3.21</v>
      </c>
      <c r="Q1233" s="1" t="s">
        <v>16</v>
      </c>
      <c r="R1233" s="1" t="str">
        <f>IF(N1233="","",VLOOKUP(N1233,Prior_levels,2,TRUE))</f>
        <v>H</v>
      </c>
    </row>
    <row r="1234" spans="1:18" x14ac:dyDescent="0.2">
      <c r="A1234" s="1" t="s">
        <v>144</v>
      </c>
      <c r="B1234" s="1" t="s">
        <v>12</v>
      </c>
      <c r="C1234" s="2">
        <v>41155</v>
      </c>
      <c r="D1234" s="1">
        <v>10</v>
      </c>
      <c r="E1234" s="1" t="s">
        <v>34</v>
      </c>
      <c r="I1234" s="1" t="s">
        <v>12</v>
      </c>
      <c r="J1234" s="1" t="s">
        <v>145</v>
      </c>
      <c r="K1234" s="1" t="s">
        <v>14</v>
      </c>
      <c r="L1234" s="1" t="s">
        <v>12</v>
      </c>
      <c r="M1234" s="1" t="s">
        <v>12</v>
      </c>
      <c r="N1234" s="1">
        <v>30.18</v>
      </c>
      <c r="O1234" s="1" t="s">
        <v>26</v>
      </c>
      <c r="P1234" s="1">
        <v>10</v>
      </c>
      <c r="Q1234" s="1" t="s">
        <v>16</v>
      </c>
      <c r="R1234" s="1" t="str">
        <f>IF(N1234="","",VLOOKUP(N1234,Prior_levels,2,TRUE))</f>
        <v>H</v>
      </c>
    </row>
    <row r="1235" spans="1:18" x14ac:dyDescent="0.2">
      <c r="A1235" s="1" t="s">
        <v>144</v>
      </c>
      <c r="B1235" s="1" t="s">
        <v>12</v>
      </c>
      <c r="C1235" s="2">
        <v>41155</v>
      </c>
      <c r="D1235" s="1">
        <v>10</v>
      </c>
      <c r="E1235" s="1" t="s">
        <v>34</v>
      </c>
      <c r="I1235" s="1" t="s">
        <v>12</v>
      </c>
      <c r="J1235" s="1" t="s">
        <v>145</v>
      </c>
      <c r="K1235" s="1" t="s">
        <v>14</v>
      </c>
      <c r="L1235" s="1" t="s">
        <v>12</v>
      </c>
      <c r="M1235" s="1" t="s">
        <v>12</v>
      </c>
      <c r="N1235" s="1">
        <v>30.18</v>
      </c>
      <c r="O1235" s="1" t="s">
        <v>24</v>
      </c>
      <c r="P1235" s="1">
        <v>-0.71</v>
      </c>
      <c r="Q1235" s="1" t="s">
        <v>16</v>
      </c>
      <c r="R1235" s="1" t="str">
        <f>IF(N1235="","",VLOOKUP(N1235,Prior_levels,2,TRUE))</f>
        <v>H</v>
      </c>
    </row>
    <row r="1236" spans="1:18" x14ac:dyDescent="0.2">
      <c r="A1236" s="1" t="s">
        <v>144</v>
      </c>
      <c r="B1236" s="1" t="s">
        <v>12</v>
      </c>
      <c r="C1236" s="2">
        <v>41155</v>
      </c>
      <c r="D1236" s="1">
        <v>10</v>
      </c>
      <c r="E1236" s="1" t="s">
        <v>34</v>
      </c>
      <c r="I1236" s="1" t="s">
        <v>12</v>
      </c>
      <c r="J1236" s="1" t="s">
        <v>145</v>
      </c>
      <c r="K1236" s="1" t="s">
        <v>14</v>
      </c>
      <c r="L1236" s="1" t="s">
        <v>12</v>
      </c>
      <c r="M1236" s="1" t="s">
        <v>12</v>
      </c>
      <c r="N1236" s="1">
        <v>30.18</v>
      </c>
      <c r="O1236" s="1" t="s">
        <v>27</v>
      </c>
      <c r="P1236" s="1" t="s">
        <v>37</v>
      </c>
      <c r="Q1236" s="1" t="s">
        <v>16</v>
      </c>
      <c r="R1236" s="1" t="str">
        <f>IF(N1236="","",VLOOKUP(N1236,Prior_levels,2,TRUE))</f>
        <v>H</v>
      </c>
    </row>
    <row r="1237" spans="1:18" x14ac:dyDescent="0.2">
      <c r="A1237" s="1" t="s">
        <v>144</v>
      </c>
      <c r="B1237" s="1" t="s">
        <v>12</v>
      </c>
      <c r="C1237" s="2">
        <v>41155</v>
      </c>
      <c r="D1237" s="1">
        <v>10</v>
      </c>
      <c r="E1237" s="1" t="s">
        <v>34</v>
      </c>
      <c r="I1237" s="1" t="s">
        <v>12</v>
      </c>
      <c r="J1237" s="1" t="s">
        <v>145</v>
      </c>
      <c r="K1237" s="1" t="s">
        <v>14</v>
      </c>
      <c r="L1237" s="1" t="s">
        <v>12</v>
      </c>
      <c r="M1237" s="1" t="s">
        <v>12</v>
      </c>
      <c r="N1237" s="1">
        <v>30.18</v>
      </c>
      <c r="O1237" s="1" t="s">
        <v>29</v>
      </c>
      <c r="P1237" s="1" t="s">
        <v>37</v>
      </c>
      <c r="Q1237" s="1" t="s">
        <v>16</v>
      </c>
      <c r="R1237" s="1" t="str">
        <f>IF(N1237="","",VLOOKUP(N1237,Prior_levels,2,TRUE))</f>
        <v>H</v>
      </c>
    </row>
    <row r="1238" spans="1:18" x14ac:dyDescent="0.2">
      <c r="A1238" s="1" t="s">
        <v>144</v>
      </c>
      <c r="B1238" s="1" t="s">
        <v>12</v>
      </c>
      <c r="C1238" s="2">
        <v>41155</v>
      </c>
      <c r="D1238" s="1">
        <v>10</v>
      </c>
      <c r="E1238" s="1" t="s">
        <v>34</v>
      </c>
      <c r="I1238" s="1" t="s">
        <v>12</v>
      </c>
      <c r="J1238" s="1" t="s">
        <v>145</v>
      </c>
      <c r="K1238" s="1" t="s">
        <v>14</v>
      </c>
      <c r="L1238" s="1" t="s">
        <v>12</v>
      </c>
      <c r="M1238" s="1" t="s">
        <v>12</v>
      </c>
      <c r="N1238" s="1">
        <v>30.18</v>
      </c>
      <c r="O1238" s="1" t="s">
        <v>30</v>
      </c>
      <c r="P1238" s="1" t="s">
        <v>37</v>
      </c>
      <c r="Q1238" s="1" t="s">
        <v>16</v>
      </c>
      <c r="R1238" s="1" t="str">
        <f>IF(N1238="","",VLOOKUP(N1238,Prior_levels,2,TRUE))</f>
        <v>H</v>
      </c>
    </row>
    <row r="1239" spans="1:18" x14ac:dyDescent="0.2">
      <c r="A1239" s="1" t="s">
        <v>144</v>
      </c>
      <c r="B1239" s="1" t="s">
        <v>12</v>
      </c>
      <c r="C1239" s="2">
        <v>41155</v>
      </c>
      <c r="D1239" s="1">
        <v>10</v>
      </c>
      <c r="E1239" s="1" t="s">
        <v>34</v>
      </c>
      <c r="I1239" s="1" t="s">
        <v>12</v>
      </c>
      <c r="J1239" s="1" t="s">
        <v>145</v>
      </c>
      <c r="K1239" s="1" t="s">
        <v>14</v>
      </c>
      <c r="L1239" s="1" t="s">
        <v>12</v>
      </c>
      <c r="M1239" s="1" t="s">
        <v>12</v>
      </c>
      <c r="N1239" s="1">
        <v>30.18</v>
      </c>
      <c r="O1239" s="1" t="s">
        <v>31</v>
      </c>
      <c r="P1239" s="1" t="s">
        <v>37</v>
      </c>
      <c r="Q1239" s="1" t="s">
        <v>16</v>
      </c>
      <c r="R1239" s="1" t="str">
        <f>IF(N1239="","",VLOOKUP(N1239,Prior_levels,2,TRUE))</f>
        <v>H</v>
      </c>
    </row>
    <row r="1240" spans="1:18" x14ac:dyDescent="0.2">
      <c r="A1240" s="1" t="s">
        <v>144</v>
      </c>
      <c r="B1240" s="1" t="s">
        <v>12</v>
      </c>
      <c r="C1240" s="2">
        <v>41155</v>
      </c>
      <c r="D1240" s="1">
        <v>10</v>
      </c>
      <c r="E1240" s="1" t="s">
        <v>34</v>
      </c>
      <c r="I1240" s="1" t="s">
        <v>12</v>
      </c>
      <c r="J1240" s="1" t="s">
        <v>145</v>
      </c>
      <c r="K1240" s="1" t="s">
        <v>14</v>
      </c>
      <c r="L1240" s="1" t="s">
        <v>12</v>
      </c>
      <c r="M1240" s="1" t="s">
        <v>12</v>
      </c>
      <c r="N1240" s="1">
        <v>30.18</v>
      </c>
      <c r="O1240" s="1" t="s">
        <v>32</v>
      </c>
      <c r="P1240" s="1" t="s">
        <v>37</v>
      </c>
      <c r="Q1240" s="1" t="s">
        <v>16</v>
      </c>
      <c r="R1240" s="1" t="str">
        <f>IF(N1240="","",VLOOKUP(N1240,Prior_levels,2,TRUE))</f>
        <v>H</v>
      </c>
    </row>
    <row r="1241" spans="1:18" x14ac:dyDescent="0.2">
      <c r="A1241" s="1" t="s">
        <v>146</v>
      </c>
      <c r="B1241" s="1" t="s">
        <v>10</v>
      </c>
      <c r="C1241" s="2">
        <v>41155</v>
      </c>
      <c r="D1241" s="1">
        <v>10</v>
      </c>
      <c r="E1241" s="1" t="s">
        <v>34</v>
      </c>
      <c r="I1241" s="1" t="s">
        <v>12</v>
      </c>
      <c r="J1241" s="1" t="s">
        <v>74</v>
      </c>
      <c r="K1241" s="1" t="s">
        <v>14</v>
      </c>
      <c r="L1241" s="1" t="s">
        <v>35</v>
      </c>
      <c r="M1241" s="1" t="s">
        <v>35</v>
      </c>
      <c r="N1241" s="1">
        <v>27.12</v>
      </c>
      <c r="O1241" s="1" t="s">
        <v>15</v>
      </c>
      <c r="P1241" s="1">
        <v>4.4000000000000004</v>
      </c>
      <c r="Q1241" s="1" t="s">
        <v>16</v>
      </c>
      <c r="R1241" s="1" t="str">
        <f>IF(N1241="","",VLOOKUP(N1241,Prior_levels,2,TRUE))</f>
        <v>M</v>
      </c>
    </row>
    <row r="1242" spans="1:18" x14ac:dyDescent="0.2">
      <c r="A1242" s="1" t="s">
        <v>146</v>
      </c>
      <c r="B1242" s="1" t="s">
        <v>10</v>
      </c>
      <c r="C1242" s="2">
        <v>41155</v>
      </c>
      <c r="D1242" s="1">
        <v>10</v>
      </c>
      <c r="E1242" s="1" t="s">
        <v>34</v>
      </c>
      <c r="I1242" s="1" t="s">
        <v>12</v>
      </c>
      <c r="J1242" s="1" t="s">
        <v>74</v>
      </c>
      <c r="K1242" s="1" t="s">
        <v>14</v>
      </c>
      <c r="L1242" s="1" t="s">
        <v>35</v>
      </c>
      <c r="M1242" s="1" t="s">
        <v>35</v>
      </c>
      <c r="N1242" s="1">
        <v>27.12</v>
      </c>
      <c r="O1242" s="1" t="s">
        <v>17</v>
      </c>
      <c r="P1242" s="1">
        <v>-0.15</v>
      </c>
      <c r="Q1242" s="1" t="s">
        <v>16</v>
      </c>
      <c r="R1242" s="1" t="str">
        <f>IF(N1242="","",VLOOKUP(N1242,Prior_levels,2,TRUE))</f>
        <v>M</v>
      </c>
    </row>
    <row r="1243" spans="1:18" x14ac:dyDescent="0.2">
      <c r="A1243" s="1" t="s">
        <v>146</v>
      </c>
      <c r="B1243" s="1" t="s">
        <v>10</v>
      </c>
      <c r="C1243" s="2">
        <v>41155</v>
      </c>
      <c r="D1243" s="1">
        <v>10</v>
      </c>
      <c r="E1243" s="1" t="s">
        <v>34</v>
      </c>
      <c r="I1243" s="1" t="s">
        <v>12</v>
      </c>
      <c r="J1243" s="1" t="s">
        <v>74</v>
      </c>
      <c r="K1243" s="1" t="s">
        <v>14</v>
      </c>
      <c r="L1243" s="1" t="s">
        <v>35</v>
      </c>
      <c r="M1243" s="1" t="s">
        <v>35</v>
      </c>
      <c r="N1243" s="1">
        <v>27.12</v>
      </c>
      <c r="O1243" s="1" t="s">
        <v>18</v>
      </c>
      <c r="P1243" s="1">
        <v>10</v>
      </c>
      <c r="Q1243" s="1" t="s">
        <v>16</v>
      </c>
      <c r="R1243" s="1" t="str">
        <f>IF(N1243="","",VLOOKUP(N1243,Prior_levels,2,TRUE))</f>
        <v>M</v>
      </c>
    </row>
    <row r="1244" spans="1:18" x14ac:dyDescent="0.2">
      <c r="A1244" s="1" t="s">
        <v>146</v>
      </c>
      <c r="B1244" s="1" t="s">
        <v>10</v>
      </c>
      <c r="C1244" s="2">
        <v>41155</v>
      </c>
      <c r="D1244" s="1">
        <v>10</v>
      </c>
      <c r="E1244" s="1" t="s">
        <v>34</v>
      </c>
      <c r="I1244" s="1" t="s">
        <v>12</v>
      </c>
      <c r="J1244" s="1" t="s">
        <v>74</v>
      </c>
      <c r="K1244" s="1" t="s">
        <v>14</v>
      </c>
      <c r="L1244" s="1" t="s">
        <v>35</v>
      </c>
      <c r="M1244" s="1" t="s">
        <v>35</v>
      </c>
      <c r="N1244" s="1">
        <v>27.12</v>
      </c>
      <c r="O1244" s="1" t="s">
        <v>19</v>
      </c>
      <c r="P1244" s="1">
        <v>10</v>
      </c>
      <c r="Q1244" s="1" t="s">
        <v>16</v>
      </c>
      <c r="R1244" s="1" t="str">
        <f>IF(N1244="","",VLOOKUP(N1244,Prior_levels,2,TRUE))</f>
        <v>M</v>
      </c>
    </row>
    <row r="1245" spans="1:18" x14ac:dyDescent="0.2">
      <c r="A1245" s="1" t="s">
        <v>146</v>
      </c>
      <c r="B1245" s="1" t="s">
        <v>10</v>
      </c>
      <c r="C1245" s="2">
        <v>41155</v>
      </c>
      <c r="D1245" s="1">
        <v>10</v>
      </c>
      <c r="E1245" s="1" t="s">
        <v>34</v>
      </c>
      <c r="I1245" s="1" t="s">
        <v>12</v>
      </c>
      <c r="J1245" s="1" t="s">
        <v>74</v>
      </c>
      <c r="K1245" s="1" t="s">
        <v>14</v>
      </c>
      <c r="L1245" s="1" t="s">
        <v>35</v>
      </c>
      <c r="M1245" s="1" t="s">
        <v>35</v>
      </c>
      <c r="N1245" s="1">
        <v>27.12</v>
      </c>
      <c r="O1245" s="1" t="s">
        <v>20</v>
      </c>
      <c r="P1245" s="1">
        <v>12</v>
      </c>
      <c r="Q1245" s="1" t="s">
        <v>16</v>
      </c>
      <c r="R1245" s="1" t="str">
        <f>IF(N1245="","",VLOOKUP(N1245,Prior_levels,2,TRUE))</f>
        <v>M</v>
      </c>
    </row>
    <row r="1246" spans="1:18" x14ac:dyDescent="0.2">
      <c r="A1246" s="1" t="s">
        <v>146</v>
      </c>
      <c r="B1246" s="1" t="s">
        <v>10</v>
      </c>
      <c r="C1246" s="2">
        <v>41155</v>
      </c>
      <c r="D1246" s="1">
        <v>10</v>
      </c>
      <c r="E1246" s="1" t="s">
        <v>34</v>
      </c>
      <c r="I1246" s="1" t="s">
        <v>12</v>
      </c>
      <c r="J1246" s="1" t="s">
        <v>74</v>
      </c>
      <c r="K1246" s="1" t="s">
        <v>14</v>
      </c>
      <c r="L1246" s="1" t="s">
        <v>35</v>
      </c>
      <c r="M1246" s="1" t="s">
        <v>35</v>
      </c>
      <c r="N1246" s="1">
        <v>27.12</v>
      </c>
      <c r="O1246" s="1" t="s">
        <v>21</v>
      </c>
      <c r="P1246" s="1">
        <v>12</v>
      </c>
      <c r="Q1246" s="1" t="s">
        <v>16</v>
      </c>
      <c r="R1246" s="1" t="str">
        <f>IF(N1246="","",VLOOKUP(N1246,Prior_levels,2,TRUE))</f>
        <v>M</v>
      </c>
    </row>
    <row r="1247" spans="1:18" x14ac:dyDescent="0.2">
      <c r="A1247" s="1" t="s">
        <v>146</v>
      </c>
      <c r="B1247" s="1" t="s">
        <v>10</v>
      </c>
      <c r="C1247" s="2">
        <v>41155</v>
      </c>
      <c r="D1247" s="1">
        <v>10</v>
      </c>
      <c r="E1247" s="1" t="s">
        <v>34</v>
      </c>
      <c r="I1247" s="1" t="s">
        <v>12</v>
      </c>
      <c r="J1247" s="1" t="s">
        <v>74</v>
      </c>
      <c r="K1247" s="1" t="s">
        <v>14</v>
      </c>
      <c r="L1247" s="1" t="s">
        <v>35</v>
      </c>
      <c r="M1247" s="1" t="s">
        <v>35</v>
      </c>
      <c r="N1247" s="1">
        <v>27.12</v>
      </c>
      <c r="O1247" s="1" t="s">
        <v>22</v>
      </c>
      <c r="P1247" s="1">
        <v>-0.05</v>
      </c>
      <c r="Q1247" s="1" t="s">
        <v>16</v>
      </c>
      <c r="R1247" s="1" t="str">
        <f>IF(N1247="","",VLOOKUP(N1247,Prior_levels,2,TRUE))</f>
        <v>M</v>
      </c>
    </row>
    <row r="1248" spans="1:18" x14ac:dyDescent="0.2">
      <c r="A1248" s="1" t="s">
        <v>146</v>
      </c>
      <c r="B1248" s="1" t="s">
        <v>10</v>
      </c>
      <c r="C1248" s="2">
        <v>41155</v>
      </c>
      <c r="D1248" s="1">
        <v>10</v>
      </c>
      <c r="E1248" s="1" t="s">
        <v>34</v>
      </c>
      <c r="I1248" s="1" t="s">
        <v>12</v>
      </c>
      <c r="J1248" s="1" t="s">
        <v>74</v>
      </c>
      <c r="K1248" s="1" t="s">
        <v>14</v>
      </c>
      <c r="L1248" s="1" t="s">
        <v>35</v>
      </c>
      <c r="M1248" s="1" t="s">
        <v>35</v>
      </c>
      <c r="N1248" s="1">
        <v>27.12</v>
      </c>
      <c r="O1248" s="1" t="s">
        <v>23</v>
      </c>
      <c r="P1248" s="1">
        <v>0.36</v>
      </c>
      <c r="Q1248" s="1" t="s">
        <v>16</v>
      </c>
      <c r="R1248" s="1" t="str">
        <f>IF(N1248="","",VLOOKUP(N1248,Prior_levels,2,TRUE))</f>
        <v>M</v>
      </c>
    </row>
    <row r="1249" spans="1:18" x14ac:dyDescent="0.2">
      <c r="A1249" s="1" t="s">
        <v>146</v>
      </c>
      <c r="B1249" s="1" t="s">
        <v>10</v>
      </c>
      <c r="C1249" s="2">
        <v>41155</v>
      </c>
      <c r="D1249" s="1">
        <v>10</v>
      </c>
      <c r="E1249" s="1" t="s">
        <v>34</v>
      </c>
      <c r="I1249" s="1" t="s">
        <v>12</v>
      </c>
      <c r="J1249" s="1" t="s">
        <v>74</v>
      </c>
      <c r="K1249" s="1" t="s">
        <v>14</v>
      </c>
      <c r="L1249" s="1" t="s">
        <v>35</v>
      </c>
      <c r="M1249" s="1" t="s">
        <v>35</v>
      </c>
      <c r="N1249" s="1">
        <v>27.12</v>
      </c>
      <c r="O1249" s="1" t="s">
        <v>25</v>
      </c>
      <c r="P1249" s="1">
        <v>-2.89</v>
      </c>
      <c r="Q1249" s="1" t="s">
        <v>16</v>
      </c>
      <c r="R1249" s="1" t="str">
        <f>IF(N1249="","",VLOOKUP(N1249,Prior_levels,2,TRUE))</f>
        <v>M</v>
      </c>
    </row>
    <row r="1250" spans="1:18" x14ac:dyDescent="0.2">
      <c r="A1250" s="1" t="s">
        <v>146</v>
      </c>
      <c r="B1250" s="1" t="s">
        <v>10</v>
      </c>
      <c r="C1250" s="2">
        <v>41155</v>
      </c>
      <c r="D1250" s="1">
        <v>10</v>
      </c>
      <c r="E1250" s="1" t="s">
        <v>34</v>
      </c>
      <c r="I1250" s="1" t="s">
        <v>12</v>
      </c>
      <c r="J1250" s="1" t="s">
        <v>74</v>
      </c>
      <c r="K1250" s="1" t="s">
        <v>14</v>
      </c>
      <c r="L1250" s="1" t="s">
        <v>35</v>
      </c>
      <c r="M1250" s="1" t="s">
        <v>35</v>
      </c>
      <c r="N1250" s="1">
        <v>27.12</v>
      </c>
      <c r="O1250" s="1" t="s">
        <v>26</v>
      </c>
      <c r="P1250" s="1">
        <v>7</v>
      </c>
      <c r="Q1250" s="1" t="s">
        <v>16</v>
      </c>
      <c r="R1250" s="1" t="str">
        <f>IF(N1250="","",VLOOKUP(N1250,Prior_levels,2,TRUE))</f>
        <v>M</v>
      </c>
    </row>
    <row r="1251" spans="1:18" x14ac:dyDescent="0.2">
      <c r="A1251" s="1" t="s">
        <v>146</v>
      </c>
      <c r="B1251" s="1" t="s">
        <v>10</v>
      </c>
      <c r="C1251" s="2">
        <v>41155</v>
      </c>
      <c r="D1251" s="1">
        <v>10</v>
      </c>
      <c r="E1251" s="1" t="s">
        <v>34</v>
      </c>
      <c r="I1251" s="1" t="s">
        <v>12</v>
      </c>
      <c r="J1251" s="1" t="s">
        <v>74</v>
      </c>
      <c r="K1251" s="1" t="s">
        <v>14</v>
      </c>
      <c r="L1251" s="1" t="s">
        <v>35</v>
      </c>
      <c r="M1251" s="1" t="s">
        <v>35</v>
      </c>
      <c r="N1251" s="1">
        <v>27.12</v>
      </c>
      <c r="O1251" s="1" t="s">
        <v>24</v>
      </c>
      <c r="P1251" s="1">
        <v>0.75</v>
      </c>
      <c r="Q1251" s="1" t="s">
        <v>16</v>
      </c>
      <c r="R1251" s="1" t="str">
        <f>IF(N1251="","",VLOOKUP(N1251,Prior_levels,2,TRUE))</f>
        <v>M</v>
      </c>
    </row>
    <row r="1252" spans="1:18" x14ac:dyDescent="0.2">
      <c r="A1252" s="1" t="s">
        <v>146</v>
      </c>
      <c r="B1252" s="1" t="s">
        <v>10</v>
      </c>
      <c r="C1252" s="2">
        <v>41155</v>
      </c>
      <c r="D1252" s="1">
        <v>10</v>
      </c>
      <c r="E1252" s="1" t="s">
        <v>34</v>
      </c>
      <c r="I1252" s="1" t="s">
        <v>12</v>
      </c>
      <c r="J1252" s="1" t="s">
        <v>74</v>
      </c>
      <c r="K1252" s="1" t="s">
        <v>14</v>
      </c>
      <c r="L1252" s="1" t="s">
        <v>35</v>
      </c>
      <c r="M1252" s="1" t="s">
        <v>35</v>
      </c>
      <c r="N1252" s="1">
        <v>27.12</v>
      </c>
      <c r="O1252" s="1" t="s">
        <v>32</v>
      </c>
      <c r="P1252" s="1" t="s">
        <v>37</v>
      </c>
      <c r="Q1252" s="1" t="s">
        <v>16</v>
      </c>
      <c r="R1252" s="1" t="str">
        <f>IF(N1252="","",VLOOKUP(N1252,Prior_levels,2,TRUE))</f>
        <v>M</v>
      </c>
    </row>
    <row r="1253" spans="1:18" x14ac:dyDescent="0.2">
      <c r="A1253" s="1" t="s">
        <v>146</v>
      </c>
      <c r="B1253" s="1" t="s">
        <v>10</v>
      </c>
      <c r="C1253" s="2">
        <v>41155</v>
      </c>
      <c r="D1253" s="1">
        <v>10</v>
      </c>
      <c r="E1253" s="1" t="s">
        <v>34</v>
      </c>
      <c r="I1253" s="1" t="s">
        <v>12</v>
      </c>
      <c r="J1253" s="1" t="s">
        <v>74</v>
      </c>
      <c r="K1253" s="1" t="s">
        <v>14</v>
      </c>
      <c r="L1253" s="1" t="s">
        <v>35</v>
      </c>
      <c r="M1253" s="1" t="s">
        <v>35</v>
      </c>
      <c r="N1253" s="1">
        <v>27.12</v>
      </c>
      <c r="O1253" s="1" t="s">
        <v>27</v>
      </c>
      <c r="P1253" s="1" t="s">
        <v>37</v>
      </c>
      <c r="Q1253" s="1" t="s">
        <v>16</v>
      </c>
      <c r="R1253" s="1" t="str">
        <f>IF(N1253="","",VLOOKUP(N1253,Prior_levels,2,TRUE))</f>
        <v>M</v>
      </c>
    </row>
    <row r="1254" spans="1:18" x14ac:dyDescent="0.2">
      <c r="A1254" s="1" t="s">
        <v>146</v>
      </c>
      <c r="B1254" s="1" t="s">
        <v>10</v>
      </c>
      <c r="C1254" s="2">
        <v>41155</v>
      </c>
      <c r="D1254" s="1">
        <v>10</v>
      </c>
      <c r="E1254" s="1" t="s">
        <v>34</v>
      </c>
      <c r="I1254" s="1" t="s">
        <v>12</v>
      </c>
      <c r="J1254" s="1" t="s">
        <v>74</v>
      </c>
      <c r="K1254" s="1" t="s">
        <v>14</v>
      </c>
      <c r="L1254" s="1" t="s">
        <v>35</v>
      </c>
      <c r="M1254" s="1" t="s">
        <v>35</v>
      </c>
      <c r="N1254" s="1">
        <v>27.12</v>
      </c>
      <c r="O1254" s="1" t="s">
        <v>29</v>
      </c>
      <c r="P1254" s="1" t="s">
        <v>37</v>
      </c>
      <c r="Q1254" s="1" t="s">
        <v>16</v>
      </c>
      <c r="R1254" s="1" t="str">
        <f>IF(N1254="","",VLOOKUP(N1254,Prior_levels,2,TRUE))</f>
        <v>M</v>
      </c>
    </row>
    <row r="1255" spans="1:18" x14ac:dyDescent="0.2">
      <c r="A1255" s="1" t="s">
        <v>146</v>
      </c>
      <c r="B1255" s="1" t="s">
        <v>10</v>
      </c>
      <c r="C1255" s="2">
        <v>41155</v>
      </c>
      <c r="D1255" s="1">
        <v>10</v>
      </c>
      <c r="E1255" s="1" t="s">
        <v>34</v>
      </c>
      <c r="I1255" s="1" t="s">
        <v>12</v>
      </c>
      <c r="J1255" s="1" t="s">
        <v>74</v>
      </c>
      <c r="K1255" s="1" t="s">
        <v>14</v>
      </c>
      <c r="L1255" s="1" t="s">
        <v>35</v>
      </c>
      <c r="M1255" s="1" t="s">
        <v>35</v>
      </c>
      <c r="N1255" s="1">
        <v>27.12</v>
      </c>
      <c r="O1255" s="1" t="s">
        <v>30</v>
      </c>
      <c r="P1255" s="1" t="s">
        <v>37</v>
      </c>
      <c r="Q1255" s="1" t="s">
        <v>16</v>
      </c>
      <c r="R1255" s="1" t="str">
        <f>IF(N1255="","",VLOOKUP(N1255,Prior_levels,2,TRUE))</f>
        <v>M</v>
      </c>
    </row>
    <row r="1256" spans="1:18" x14ac:dyDescent="0.2">
      <c r="A1256" s="1" t="s">
        <v>146</v>
      </c>
      <c r="B1256" s="1" t="s">
        <v>10</v>
      </c>
      <c r="C1256" s="2">
        <v>41155</v>
      </c>
      <c r="D1256" s="1">
        <v>10</v>
      </c>
      <c r="E1256" s="1" t="s">
        <v>34</v>
      </c>
      <c r="I1256" s="1" t="s">
        <v>12</v>
      </c>
      <c r="J1256" s="1" t="s">
        <v>74</v>
      </c>
      <c r="K1256" s="1" t="s">
        <v>14</v>
      </c>
      <c r="L1256" s="1" t="s">
        <v>35</v>
      </c>
      <c r="M1256" s="1" t="s">
        <v>35</v>
      </c>
      <c r="N1256" s="1">
        <v>27.12</v>
      </c>
      <c r="O1256" s="1" t="s">
        <v>31</v>
      </c>
      <c r="P1256" s="1" t="s">
        <v>28</v>
      </c>
      <c r="Q1256" s="1" t="s">
        <v>16</v>
      </c>
      <c r="R1256" s="1" t="str">
        <f>IF(N1256="","",VLOOKUP(N1256,Prior_levels,2,TRUE))</f>
        <v>M</v>
      </c>
    </row>
    <row r="1257" spans="1:18" x14ac:dyDescent="0.2">
      <c r="A1257" s="1" t="s">
        <v>147</v>
      </c>
      <c r="B1257" s="1" t="s">
        <v>10</v>
      </c>
      <c r="C1257" s="2">
        <v>41155</v>
      </c>
      <c r="D1257" s="1">
        <v>10</v>
      </c>
      <c r="E1257" s="1" t="s">
        <v>47</v>
      </c>
      <c r="I1257" s="1" t="s">
        <v>12</v>
      </c>
      <c r="J1257" s="1" t="s">
        <v>40</v>
      </c>
      <c r="K1257" s="1" t="s">
        <v>14</v>
      </c>
      <c r="L1257" s="1" t="s">
        <v>35</v>
      </c>
      <c r="M1257" s="1" t="s">
        <v>35</v>
      </c>
      <c r="N1257" s="1">
        <v>27.12</v>
      </c>
      <c r="O1257" s="1" t="s">
        <v>15</v>
      </c>
      <c r="P1257" s="1">
        <v>5</v>
      </c>
      <c r="Q1257" s="1" t="s">
        <v>16</v>
      </c>
      <c r="R1257" s="1" t="str">
        <f>IF(N1257="","",VLOOKUP(N1257,Prior_levels,2,TRUE))</f>
        <v>M</v>
      </c>
    </row>
    <row r="1258" spans="1:18" x14ac:dyDescent="0.2">
      <c r="A1258" s="1" t="s">
        <v>147</v>
      </c>
      <c r="B1258" s="1" t="s">
        <v>10</v>
      </c>
      <c r="C1258" s="2">
        <v>41155</v>
      </c>
      <c r="D1258" s="1">
        <v>10</v>
      </c>
      <c r="E1258" s="1" t="s">
        <v>47</v>
      </c>
      <c r="I1258" s="1" t="s">
        <v>12</v>
      </c>
      <c r="J1258" s="1" t="s">
        <v>40</v>
      </c>
      <c r="K1258" s="1" t="s">
        <v>14</v>
      </c>
      <c r="L1258" s="1" t="s">
        <v>35</v>
      </c>
      <c r="M1258" s="1" t="s">
        <v>35</v>
      </c>
      <c r="N1258" s="1">
        <v>27.12</v>
      </c>
      <c r="O1258" s="1" t="s">
        <v>17</v>
      </c>
      <c r="P1258" s="1">
        <v>0.45</v>
      </c>
      <c r="Q1258" s="1" t="s">
        <v>16</v>
      </c>
      <c r="R1258" s="1" t="str">
        <f>IF(N1258="","",VLOOKUP(N1258,Prior_levels,2,TRUE))</f>
        <v>M</v>
      </c>
    </row>
    <row r="1259" spans="1:18" x14ac:dyDescent="0.2">
      <c r="A1259" s="1" t="s">
        <v>147</v>
      </c>
      <c r="B1259" s="1" t="s">
        <v>10</v>
      </c>
      <c r="C1259" s="2">
        <v>41155</v>
      </c>
      <c r="D1259" s="1">
        <v>10</v>
      </c>
      <c r="E1259" s="1" t="s">
        <v>47</v>
      </c>
      <c r="I1259" s="1" t="s">
        <v>12</v>
      </c>
      <c r="J1259" s="1" t="s">
        <v>40</v>
      </c>
      <c r="K1259" s="1" t="s">
        <v>14</v>
      </c>
      <c r="L1259" s="1" t="s">
        <v>35</v>
      </c>
      <c r="M1259" s="1" t="s">
        <v>35</v>
      </c>
      <c r="N1259" s="1">
        <v>27.12</v>
      </c>
      <c r="O1259" s="1" t="s">
        <v>18</v>
      </c>
      <c r="P1259" s="1">
        <v>10</v>
      </c>
      <c r="Q1259" s="1" t="s">
        <v>16</v>
      </c>
      <c r="R1259" s="1" t="str">
        <f>IF(N1259="","",VLOOKUP(N1259,Prior_levels,2,TRUE))</f>
        <v>M</v>
      </c>
    </row>
    <row r="1260" spans="1:18" x14ac:dyDescent="0.2">
      <c r="A1260" s="1" t="s">
        <v>147</v>
      </c>
      <c r="B1260" s="1" t="s">
        <v>10</v>
      </c>
      <c r="C1260" s="2">
        <v>41155</v>
      </c>
      <c r="D1260" s="1">
        <v>10</v>
      </c>
      <c r="E1260" s="1" t="s">
        <v>47</v>
      </c>
      <c r="I1260" s="1" t="s">
        <v>12</v>
      </c>
      <c r="J1260" s="1" t="s">
        <v>40</v>
      </c>
      <c r="K1260" s="1" t="s">
        <v>14</v>
      </c>
      <c r="L1260" s="1" t="s">
        <v>35</v>
      </c>
      <c r="M1260" s="1" t="s">
        <v>35</v>
      </c>
      <c r="N1260" s="1">
        <v>27.12</v>
      </c>
      <c r="O1260" s="1" t="s">
        <v>19</v>
      </c>
      <c r="P1260" s="1">
        <v>12</v>
      </c>
      <c r="Q1260" s="1" t="s">
        <v>16</v>
      </c>
      <c r="R1260" s="1" t="str">
        <f>IF(N1260="","",VLOOKUP(N1260,Prior_levels,2,TRUE))</f>
        <v>M</v>
      </c>
    </row>
    <row r="1261" spans="1:18" x14ac:dyDescent="0.2">
      <c r="A1261" s="1" t="s">
        <v>147</v>
      </c>
      <c r="B1261" s="1" t="s">
        <v>10</v>
      </c>
      <c r="C1261" s="2">
        <v>41155</v>
      </c>
      <c r="D1261" s="1">
        <v>10</v>
      </c>
      <c r="E1261" s="1" t="s">
        <v>47</v>
      </c>
      <c r="I1261" s="1" t="s">
        <v>12</v>
      </c>
      <c r="J1261" s="1" t="s">
        <v>40</v>
      </c>
      <c r="K1261" s="1" t="s">
        <v>14</v>
      </c>
      <c r="L1261" s="1" t="s">
        <v>35</v>
      </c>
      <c r="M1261" s="1" t="s">
        <v>35</v>
      </c>
      <c r="N1261" s="1">
        <v>27.12</v>
      </c>
      <c r="O1261" s="1" t="s">
        <v>20</v>
      </c>
      <c r="P1261" s="1">
        <v>15</v>
      </c>
      <c r="Q1261" s="1" t="s">
        <v>16</v>
      </c>
      <c r="R1261" s="1" t="str">
        <f>IF(N1261="","",VLOOKUP(N1261,Prior_levels,2,TRUE))</f>
        <v>M</v>
      </c>
    </row>
    <row r="1262" spans="1:18" x14ac:dyDescent="0.2">
      <c r="A1262" s="1" t="s">
        <v>147</v>
      </c>
      <c r="B1262" s="1" t="s">
        <v>10</v>
      </c>
      <c r="C1262" s="2">
        <v>41155</v>
      </c>
      <c r="D1262" s="1">
        <v>10</v>
      </c>
      <c r="E1262" s="1" t="s">
        <v>47</v>
      </c>
      <c r="I1262" s="1" t="s">
        <v>12</v>
      </c>
      <c r="J1262" s="1" t="s">
        <v>40</v>
      </c>
      <c r="K1262" s="1" t="s">
        <v>14</v>
      </c>
      <c r="L1262" s="1" t="s">
        <v>35</v>
      </c>
      <c r="M1262" s="1" t="s">
        <v>35</v>
      </c>
      <c r="N1262" s="1">
        <v>27.12</v>
      </c>
      <c r="O1262" s="1" t="s">
        <v>21</v>
      </c>
      <c r="P1262" s="1">
        <v>13</v>
      </c>
      <c r="Q1262" s="1" t="s">
        <v>16</v>
      </c>
      <c r="R1262" s="1" t="str">
        <f>IF(N1262="","",VLOOKUP(N1262,Prior_levels,2,TRUE))</f>
        <v>M</v>
      </c>
    </row>
    <row r="1263" spans="1:18" x14ac:dyDescent="0.2">
      <c r="A1263" s="1" t="s">
        <v>147</v>
      </c>
      <c r="B1263" s="1" t="s">
        <v>10</v>
      </c>
      <c r="C1263" s="2">
        <v>41155</v>
      </c>
      <c r="D1263" s="1">
        <v>10</v>
      </c>
      <c r="E1263" s="1" t="s">
        <v>47</v>
      </c>
      <c r="I1263" s="1" t="s">
        <v>12</v>
      </c>
      <c r="J1263" s="1" t="s">
        <v>40</v>
      </c>
      <c r="K1263" s="1" t="s">
        <v>14</v>
      </c>
      <c r="L1263" s="1" t="s">
        <v>35</v>
      </c>
      <c r="M1263" s="1" t="s">
        <v>35</v>
      </c>
      <c r="N1263" s="1">
        <v>27.12</v>
      </c>
      <c r="O1263" s="1" t="s">
        <v>22</v>
      </c>
      <c r="P1263" s="1">
        <v>-0.05</v>
      </c>
      <c r="Q1263" s="1" t="s">
        <v>16</v>
      </c>
      <c r="R1263" s="1" t="str">
        <f>IF(N1263="","",VLOOKUP(N1263,Prior_levels,2,TRUE))</f>
        <v>M</v>
      </c>
    </row>
    <row r="1264" spans="1:18" x14ac:dyDescent="0.2">
      <c r="A1264" s="1" t="s">
        <v>147</v>
      </c>
      <c r="B1264" s="1" t="s">
        <v>10</v>
      </c>
      <c r="C1264" s="2">
        <v>41155</v>
      </c>
      <c r="D1264" s="1">
        <v>10</v>
      </c>
      <c r="E1264" s="1" t="s">
        <v>47</v>
      </c>
      <c r="I1264" s="1" t="s">
        <v>12</v>
      </c>
      <c r="J1264" s="1" t="s">
        <v>40</v>
      </c>
      <c r="K1264" s="1" t="s">
        <v>14</v>
      </c>
      <c r="L1264" s="1" t="s">
        <v>35</v>
      </c>
      <c r="M1264" s="1" t="s">
        <v>35</v>
      </c>
      <c r="N1264" s="1">
        <v>27.12</v>
      </c>
      <c r="O1264" s="1" t="s">
        <v>23</v>
      </c>
      <c r="P1264" s="1">
        <v>1.36</v>
      </c>
      <c r="Q1264" s="1" t="s">
        <v>16</v>
      </c>
      <c r="R1264" s="1" t="str">
        <f>IF(N1264="","",VLOOKUP(N1264,Prior_levels,2,TRUE))</f>
        <v>M</v>
      </c>
    </row>
    <row r="1265" spans="1:18" x14ac:dyDescent="0.2">
      <c r="A1265" s="1" t="s">
        <v>147</v>
      </c>
      <c r="B1265" s="1" t="s">
        <v>10</v>
      </c>
      <c r="C1265" s="2">
        <v>41155</v>
      </c>
      <c r="D1265" s="1">
        <v>10</v>
      </c>
      <c r="E1265" s="1" t="s">
        <v>47</v>
      </c>
      <c r="I1265" s="1" t="s">
        <v>12</v>
      </c>
      <c r="J1265" s="1" t="s">
        <v>40</v>
      </c>
      <c r="K1265" s="1" t="s">
        <v>14</v>
      </c>
      <c r="L1265" s="1" t="s">
        <v>35</v>
      </c>
      <c r="M1265" s="1" t="s">
        <v>35</v>
      </c>
      <c r="N1265" s="1">
        <v>27.12</v>
      </c>
      <c r="O1265" s="1" t="s">
        <v>25</v>
      </c>
      <c r="P1265" s="1">
        <v>-1.89</v>
      </c>
      <c r="Q1265" s="1" t="s">
        <v>16</v>
      </c>
      <c r="R1265" s="1" t="str">
        <f>IF(N1265="","",VLOOKUP(N1265,Prior_levels,2,TRUE))</f>
        <v>M</v>
      </c>
    </row>
    <row r="1266" spans="1:18" x14ac:dyDescent="0.2">
      <c r="A1266" s="1" t="s">
        <v>147</v>
      </c>
      <c r="B1266" s="1" t="s">
        <v>10</v>
      </c>
      <c r="C1266" s="2">
        <v>41155</v>
      </c>
      <c r="D1266" s="1">
        <v>10</v>
      </c>
      <c r="E1266" s="1" t="s">
        <v>47</v>
      </c>
      <c r="I1266" s="1" t="s">
        <v>12</v>
      </c>
      <c r="J1266" s="1" t="s">
        <v>40</v>
      </c>
      <c r="K1266" s="1" t="s">
        <v>14</v>
      </c>
      <c r="L1266" s="1" t="s">
        <v>35</v>
      </c>
      <c r="M1266" s="1" t="s">
        <v>35</v>
      </c>
      <c r="N1266" s="1">
        <v>27.12</v>
      </c>
      <c r="O1266" s="1" t="s">
        <v>26</v>
      </c>
      <c r="P1266" s="1">
        <v>8</v>
      </c>
      <c r="Q1266" s="1" t="s">
        <v>16</v>
      </c>
      <c r="R1266" s="1" t="str">
        <f>IF(N1266="","",VLOOKUP(N1266,Prior_levels,2,TRUE))</f>
        <v>M</v>
      </c>
    </row>
    <row r="1267" spans="1:18" x14ac:dyDescent="0.2">
      <c r="A1267" s="1" t="s">
        <v>147</v>
      </c>
      <c r="B1267" s="1" t="s">
        <v>10</v>
      </c>
      <c r="C1267" s="2">
        <v>41155</v>
      </c>
      <c r="D1267" s="1">
        <v>10</v>
      </c>
      <c r="E1267" s="1" t="s">
        <v>47</v>
      </c>
      <c r="I1267" s="1" t="s">
        <v>12</v>
      </c>
      <c r="J1267" s="1" t="s">
        <v>40</v>
      </c>
      <c r="K1267" s="1" t="s">
        <v>14</v>
      </c>
      <c r="L1267" s="1" t="s">
        <v>35</v>
      </c>
      <c r="M1267" s="1" t="s">
        <v>35</v>
      </c>
      <c r="N1267" s="1">
        <v>27.12</v>
      </c>
      <c r="O1267" s="1" t="s">
        <v>24</v>
      </c>
      <c r="P1267" s="1">
        <v>3.75</v>
      </c>
      <c r="Q1267" s="1" t="s">
        <v>16</v>
      </c>
      <c r="R1267" s="1" t="str">
        <f>IF(N1267="","",VLOOKUP(N1267,Prior_levels,2,TRUE))</f>
        <v>M</v>
      </c>
    </row>
    <row r="1268" spans="1:18" x14ac:dyDescent="0.2">
      <c r="A1268" s="1" t="s">
        <v>147</v>
      </c>
      <c r="B1268" s="1" t="s">
        <v>10</v>
      </c>
      <c r="C1268" s="2">
        <v>41155</v>
      </c>
      <c r="D1268" s="1">
        <v>10</v>
      </c>
      <c r="E1268" s="1" t="s">
        <v>47</v>
      </c>
      <c r="I1268" s="1" t="s">
        <v>12</v>
      </c>
      <c r="J1268" s="1" t="s">
        <v>40</v>
      </c>
      <c r="K1268" s="1" t="s">
        <v>14</v>
      </c>
      <c r="L1268" s="1" t="s">
        <v>35</v>
      </c>
      <c r="M1268" s="1" t="s">
        <v>35</v>
      </c>
      <c r="N1268" s="1">
        <v>27.12</v>
      </c>
      <c r="O1268" s="1" t="s">
        <v>32</v>
      </c>
      <c r="P1268" s="1" t="s">
        <v>37</v>
      </c>
      <c r="Q1268" s="1" t="s">
        <v>16</v>
      </c>
      <c r="R1268" s="1" t="str">
        <f>IF(N1268="","",VLOOKUP(N1268,Prior_levels,2,TRUE))</f>
        <v>M</v>
      </c>
    </row>
    <row r="1269" spans="1:18" x14ac:dyDescent="0.2">
      <c r="A1269" s="1" t="s">
        <v>147</v>
      </c>
      <c r="B1269" s="1" t="s">
        <v>10</v>
      </c>
      <c r="C1269" s="2">
        <v>41155</v>
      </c>
      <c r="D1269" s="1">
        <v>10</v>
      </c>
      <c r="E1269" s="1" t="s">
        <v>47</v>
      </c>
      <c r="I1269" s="1" t="s">
        <v>12</v>
      </c>
      <c r="J1269" s="1" t="s">
        <v>40</v>
      </c>
      <c r="K1269" s="1" t="s">
        <v>14</v>
      </c>
      <c r="L1269" s="1" t="s">
        <v>35</v>
      </c>
      <c r="M1269" s="1" t="s">
        <v>35</v>
      </c>
      <c r="N1269" s="1">
        <v>27.12</v>
      </c>
      <c r="O1269" s="1" t="s">
        <v>27</v>
      </c>
      <c r="P1269" s="1" t="s">
        <v>37</v>
      </c>
      <c r="Q1269" s="1" t="s">
        <v>16</v>
      </c>
      <c r="R1269" s="1" t="str">
        <f>IF(N1269="","",VLOOKUP(N1269,Prior_levels,2,TRUE))</f>
        <v>M</v>
      </c>
    </row>
    <row r="1270" spans="1:18" x14ac:dyDescent="0.2">
      <c r="A1270" s="1" t="s">
        <v>147</v>
      </c>
      <c r="B1270" s="1" t="s">
        <v>10</v>
      </c>
      <c r="C1270" s="2">
        <v>41155</v>
      </c>
      <c r="D1270" s="1">
        <v>10</v>
      </c>
      <c r="E1270" s="1" t="s">
        <v>47</v>
      </c>
      <c r="I1270" s="1" t="s">
        <v>12</v>
      </c>
      <c r="J1270" s="1" t="s">
        <v>40</v>
      </c>
      <c r="K1270" s="1" t="s">
        <v>14</v>
      </c>
      <c r="L1270" s="1" t="s">
        <v>35</v>
      </c>
      <c r="M1270" s="1" t="s">
        <v>35</v>
      </c>
      <c r="N1270" s="1">
        <v>27.12</v>
      </c>
      <c r="O1270" s="1" t="s">
        <v>29</v>
      </c>
      <c r="P1270" s="1" t="s">
        <v>37</v>
      </c>
      <c r="Q1270" s="1" t="s">
        <v>16</v>
      </c>
      <c r="R1270" s="1" t="str">
        <f>IF(N1270="","",VLOOKUP(N1270,Prior_levels,2,TRUE))</f>
        <v>M</v>
      </c>
    </row>
    <row r="1271" spans="1:18" x14ac:dyDescent="0.2">
      <c r="A1271" s="1" t="s">
        <v>147</v>
      </c>
      <c r="B1271" s="1" t="s">
        <v>10</v>
      </c>
      <c r="C1271" s="2">
        <v>41155</v>
      </c>
      <c r="D1271" s="1">
        <v>10</v>
      </c>
      <c r="E1271" s="1" t="s">
        <v>47</v>
      </c>
      <c r="I1271" s="1" t="s">
        <v>12</v>
      </c>
      <c r="J1271" s="1" t="s">
        <v>40</v>
      </c>
      <c r="K1271" s="1" t="s">
        <v>14</v>
      </c>
      <c r="L1271" s="1" t="s">
        <v>35</v>
      </c>
      <c r="M1271" s="1" t="s">
        <v>35</v>
      </c>
      <c r="N1271" s="1">
        <v>27.12</v>
      </c>
      <c r="O1271" s="1" t="s">
        <v>30</v>
      </c>
      <c r="P1271" s="1" t="s">
        <v>37</v>
      </c>
      <c r="Q1271" s="1" t="s">
        <v>16</v>
      </c>
      <c r="R1271" s="1" t="str">
        <f>IF(N1271="","",VLOOKUP(N1271,Prior_levels,2,TRUE))</f>
        <v>M</v>
      </c>
    </row>
    <row r="1272" spans="1:18" x14ac:dyDescent="0.2">
      <c r="A1272" s="1" t="s">
        <v>147</v>
      </c>
      <c r="B1272" s="1" t="s">
        <v>10</v>
      </c>
      <c r="C1272" s="2">
        <v>41155</v>
      </c>
      <c r="D1272" s="1">
        <v>10</v>
      </c>
      <c r="E1272" s="1" t="s">
        <v>47</v>
      </c>
      <c r="I1272" s="1" t="s">
        <v>12</v>
      </c>
      <c r="J1272" s="1" t="s">
        <v>40</v>
      </c>
      <c r="K1272" s="1" t="s">
        <v>14</v>
      </c>
      <c r="L1272" s="1" t="s">
        <v>35</v>
      </c>
      <c r="M1272" s="1" t="s">
        <v>35</v>
      </c>
      <c r="N1272" s="1">
        <v>27.12</v>
      </c>
      <c r="O1272" s="1" t="s">
        <v>31</v>
      </c>
      <c r="P1272" s="1" t="s">
        <v>28</v>
      </c>
      <c r="Q1272" s="1" t="s">
        <v>16</v>
      </c>
      <c r="R1272" s="1" t="str">
        <f>IF(N1272="","",VLOOKUP(N1272,Prior_levels,2,TRUE))</f>
        <v>M</v>
      </c>
    </row>
    <row r="1273" spans="1:18" x14ac:dyDescent="0.2">
      <c r="A1273" s="1" t="s">
        <v>148</v>
      </c>
      <c r="B1273" s="1" t="s">
        <v>10</v>
      </c>
      <c r="C1273" s="2">
        <v>41155</v>
      </c>
      <c r="D1273" s="1">
        <v>10</v>
      </c>
      <c r="E1273" s="1" t="s">
        <v>52</v>
      </c>
      <c r="I1273" s="1" t="s">
        <v>12</v>
      </c>
      <c r="J1273" s="1" t="s">
        <v>127</v>
      </c>
      <c r="K1273" s="1" t="s">
        <v>14</v>
      </c>
      <c r="L1273" s="1" t="s">
        <v>12</v>
      </c>
      <c r="M1273" s="1" t="s">
        <v>12</v>
      </c>
      <c r="N1273" s="1">
        <v>27.12</v>
      </c>
      <c r="O1273" s="1" t="s">
        <v>15</v>
      </c>
      <c r="P1273" s="1">
        <v>4.6500000000000004</v>
      </c>
      <c r="Q1273" s="1" t="s">
        <v>16</v>
      </c>
      <c r="R1273" s="1" t="str">
        <f>IF(N1273="","",VLOOKUP(N1273,Prior_levels,2,TRUE))</f>
        <v>M</v>
      </c>
    </row>
    <row r="1274" spans="1:18" x14ac:dyDescent="0.2">
      <c r="A1274" s="1" t="s">
        <v>148</v>
      </c>
      <c r="B1274" s="1" t="s">
        <v>10</v>
      </c>
      <c r="C1274" s="2">
        <v>41155</v>
      </c>
      <c r="D1274" s="1">
        <v>10</v>
      </c>
      <c r="E1274" s="1" t="s">
        <v>52</v>
      </c>
      <c r="I1274" s="1" t="s">
        <v>12</v>
      </c>
      <c r="J1274" s="1" t="s">
        <v>127</v>
      </c>
      <c r="K1274" s="1" t="s">
        <v>14</v>
      </c>
      <c r="L1274" s="1" t="s">
        <v>12</v>
      </c>
      <c r="M1274" s="1" t="s">
        <v>12</v>
      </c>
      <c r="N1274" s="1">
        <v>27.12</v>
      </c>
      <c r="O1274" s="1" t="s">
        <v>17</v>
      </c>
      <c r="P1274" s="1">
        <v>0.1</v>
      </c>
      <c r="Q1274" s="1" t="s">
        <v>16</v>
      </c>
      <c r="R1274" s="1" t="str">
        <f>IF(N1274="","",VLOOKUP(N1274,Prior_levels,2,TRUE))</f>
        <v>M</v>
      </c>
    </row>
    <row r="1275" spans="1:18" x14ac:dyDescent="0.2">
      <c r="A1275" s="1" t="s">
        <v>148</v>
      </c>
      <c r="B1275" s="1" t="s">
        <v>10</v>
      </c>
      <c r="C1275" s="2">
        <v>41155</v>
      </c>
      <c r="D1275" s="1">
        <v>10</v>
      </c>
      <c r="E1275" s="1" t="s">
        <v>52</v>
      </c>
      <c r="I1275" s="1" t="s">
        <v>12</v>
      </c>
      <c r="J1275" s="1" t="s">
        <v>127</v>
      </c>
      <c r="K1275" s="1" t="s">
        <v>14</v>
      </c>
      <c r="L1275" s="1" t="s">
        <v>12</v>
      </c>
      <c r="M1275" s="1" t="s">
        <v>12</v>
      </c>
      <c r="N1275" s="1">
        <v>27.12</v>
      </c>
      <c r="O1275" s="1" t="s">
        <v>18</v>
      </c>
      <c r="P1275" s="1">
        <v>10</v>
      </c>
      <c r="Q1275" s="1" t="s">
        <v>16</v>
      </c>
      <c r="R1275" s="1" t="str">
        <f>IF(N1275="","",VLOOKUP(N1275,Prior_levels,2,TRUE))</f>
        <v>M</v>
      </c>
    </row>
    <row r="1276" spans="1:18" x14ac:dyDescent="0.2">
      <c r="A1276" s="1" t="s">
        <v>148</v>
      </c>
      <c r="B1276" s="1" t="s">
        <v>10</v>
      </c>
      <c r="C1276" s="2">
        <v>41155</v>
      </c>
      <c r="D1276" s="1">
        <v>10</v>
      </c>
      <c r="E1276" s="1" t="s">
        <v>52</v>
      </c>
      <c r="I1276" s="1" t="s">
        <v>12</v>
      </c>
      <c r="J1276" s="1" t="s">
        <v>127</v>
      </c>
      <c r="K1276" s="1" t="s">
        <v>14</v>
      </c>
      <c r="L1276" s="1" t="s">
        <v>12</v>
      </c>
      <c r="M1276" s="1" t="s">
        <v>12</v>
      </c>
      <c r="N1276" s="1">
        <v>27.12</v>
      </c>
      <c r="O1276" s="1" t="s">
        <v>19</v>
      </c>
      <c r="P1276" s="1">
        <v>10</v>
      </c>
      <c r="Q1276" s="1" t="s">
        <v>16</v>
      </c>
      <c r="R1276" s="1" t="str">
        <f>IF(N1276="","",VLOOKUP(N1276,Prior_levels,2,TRUE))</f>
        <v>M</v>
      </c>
    </row>
    <row r="1277" spans="1:18" x14ac:dyDescent="0.2">
      <c r="A1277" s="1" t="s">
        <v>148</v>
      </c>
      <c r="B1277" s="1" t="s">
        <v>10</v>
      </c>
      <c r="C1277" s="2">
        <v>41155</v>
      </c>
      <c r="D1277" s="1">
        <v>10</v>
      </c>
      <c r="E1277" s="1" t="s">
        <v>52</v>
      </c>
      <c r="I1277" s="1" t="s">
        <v>12</v>
      </c>
      <c r="J1277" s="1" t="s">
        <v>127</v>
      </c>
      <c r="K1277" s="1" t="s">
        <v>14</v>
      </c>
      <c r="L1277" s="1" t="s">
        <v>12</v>
      </c>
      <c r="M1277" s="1" t="s">
        <v>12</v>
      </c>
      <c r="N1277" s="1">
        <v>27.12</v>
      </c>
      <c r="O1277" s="1" t="s">
        <v>20</v>
      </c>
      <c r="P1277" s="1">
        <v>13.5</v>
      </c>
      <c r="Q1277" s="1" t="s">
        <v>16</v>
      </c>
      <c r="R1277" s="1" t="str">
        <f>IF(N1277="","",VLOOKUP(N1277,Prior_levels,2,TRUE))</f>
        <v>M</v>
      </c>
    </row>
    <row r="1278" spans="1:18" x14ac:dyDescent="0.2">
      <c r="A1278" s="1" t="s">
        <v>148</v>
      </c>
      <c r="B1278" s="1" t="s">
        <v>10</v>
      </c>
      <c r="C1278" s="2">
        <v>41155</v>
      </c>
      <c r="D1278" s="1">
        <v>10</v>
      </c>
      <c r="E1278" s="1" t="s">
        <v>52</v>
      </c>
      <c r="I1278" s="1" t="s">
        <v>12</v>
      </c>
      <c r="J1278" s="1" t="s">
        <v>127</v>
      </c>
      <c r="K1278" s="1" t="s">
        <v>14</v>
      </c>
      <c r="L1278" s="1" t="s">
        <v>12</v>
      </c>
      <c r="M1278" s="1" t="s">
        <v>12</v>
      </c>
      <c r="N1278" s="1">
        <v>27.12</v>
      </c>
      <c r="O1278" s="1" t="s">
        <v>21</v>
      </c>
      <c r="P1278" s="1">
        <v>13</v>
      </c>
      <c r="Q1278" s="1" t="s">
        <v>16</v>
      </c>
      <c r="R1278" s="1" t="str">
        <f>IF(N1278="","",VLOOKUP(N1278,Prior_levels,2,TRUE))</f>
        <v>M</v>
      </c>
    </row>
    <row r="1279" spans="1:18" x14ac:dyDescent="0.2">
      <c r="A1279" s="1" t="s">
        <v>148</v>
      </c>
      <c r="B1279" s="1" t="s">
        <v>10</v>
      </c>
      <c r="C1279" s="2">
        <v>41155</v>
      </c>
      <c r="D1279" s="1">
        <v>10</v>
      </c>
      <c r="E1279" s="1" t="s">
        <v>52</v>
      </c>
      <c r="I1279" s="1" t="s">
        <v>12</v>
      </c>
      <c r="J1279" s="1" t="s">
        <v>127</v>
      </c>
      <c r="K1279" s="1" t="s">
        <v>14</v>
      </c>
      <c r="L1279" s="1" t="s">
        <v>12</v>
      </c>
      <c r="M1279" s="1" t="s">
        <v>12</v>
      </c>
      <c r="N1279" s="1">
        <v>27.12</v>
      </c>
      <c r="O1279" s="1" t="s">
        <v>22</v>
      </c>
      <c r="P1279" s="1">
        <v>-0.05</v>
      </c>
      <c r="Q1279" s="1" t="s">
        <v>16</v>
      </c>
      <c r="R1279" s="1" t="str">
        <f>IF(N1279="","",VLOOKUP(N1279,Prior_levels,2,TRUE))</f>
        <v>M</v>
      </c>
    </row>
    <row r="1280" spans="1:18" x14ac:dyDescent="0.2">
      <c r="A1280" s="1" t="s">
        <v>148</v>
      </c>
      <c r="B1280" s="1" t="s">
        <v>10</v>
      </c>
      <c r="C1280" s="2">
        <v>41155</v>
      </c>
      <c r="D1280" s="1">
        <v>10</v>
      </c>
      <c r="E1280" s="1" t="s">
        <v>52</v>
      </c>
      <c r="I1280" s="1" t="s">
        <v>12</v>
      </c>
      <c r="J1280" s="1" t="s">
        <v>127</v>
      </c>
      <c r="K1280" s="1" t="s">
        <v>14</v>
      </c>
      <c r="L1280" s="1" t="s">
        <v>12</v>
      </c>
      <c r="M1280" s="1" t="s">
        <v>12</v>
      </c>
      <c r="N1280" s="1">
        <v>27.12</v>
      </c>
      <c r="O1280" s="1" t="s">
        <v>23</v>
      </c>
      <c r="P1280" s="1">
        <v>0.36</v>
      </c>
      <c r="Q1280" s="1" t="s">
        <v>16</v>
      </c>
      <c r="R1280" s="1" t="str">
        <f>IF(N1280="","",VLOOKUP(N1280,Prior_levels,2,TRUE))</f>
        <v>M</v>
      </c>
    </row>
    <row r="1281" spans="1:18" x14ac:dyDescent="0.2">
      <c r="A1281" s="1" t="s">
        <v>148</v>
      </c>
      <c r="B1281" s="1" t="s">
        <v>10</v>
      </c>
      <c r="C1281" s="2">
        <v>41155</v>
      </c>
      <c r="D1281" s="1">
        <v>10</v>
      </c>
      <c r="E1281" s="1" t="s">
        <v>52</v>
      </c>
      <c r="I1281" s="1" t="s">
        <v>12</v>
      </c>
      <c r="J1281" s="1" t="s">
        <v>127</v>
      </c>
      <c r="K1281" s="1" t="s">
        <v>14</v>
      </c>
      <c r="L1281" s="1" t="s">
        <v>12</v>
      </c>
      <c r="M1281" s="1" t="s">
        <v>12</v>
      </c>
      <c r="N1281" s="1">
        <v>27.12</v>
      </c>
      <c r="O1281" s="1" t="s">
        <v>24</v>
      </c>
      <c r="P1281" s="1">
        <v>2.25</v>
      </c>
      <c r="Q1281" s="1" t="s">
        <v>16</v>
      </c>
      <c r="R1281" s="1" t="str">
        <f>IF(N1281="","",VLOOKUP(N1281,Prior_levels,2,TRUE))</f>
        <v>M</v>
      </c>
    </row>
    <row r="1282" spans="1:18" x14ac:dyDescent="0.2">
      <c r="A1282" s="1" t="s">
        <v>148</v>
      </c>
      <c r="B1282" s="1" t="s">
        <v>10</v>
      </c>
      <c r="C1282" s="2">
        <v>41155</v>
      </c>
      <c r="D1282" s="1">
        <v>10</v>
      </c>
      <c r="E1282" s="1" t="s">
        <v>52</v>
      </c>
      <c r="I1282" s="1" t="s">
        <v>12</v>
      </c>
      <c r="J1282" s="1" t="s">
        <v>127</v>
      </c>
      <c r="K1282" s="1" t="s">
        <v>14</v>
      </c>
      <c r="L1282" s="1" t="s">
        <v>12</v>
      </c>
      <c r="M1282" s="1" t="s">
        <v>12</v>
      </c>
      <c r="N1282" s="1">
        <v>27.12</v>
      </c>
      <c r="O1282" s="1" t="s">
        <v>25</v>
      </c>
      <c r="P1282" s="1">
        <v>-1.89</v>
      </c>
      <c r="Q1282" s="1" t="s">
        <v>16</v>
      </c>
      <c r="R1282" s="1" t="str">
        <f>IF(N1282="","",VLOOKUP(N1282,Prior_levels,2,TRUE))</f>
        <v>M</v>
      </c>
    </row>
    <row r="1283" spans="1:18" x14ac:dyDescent="0.2">
      <c r="A1283" s="1" t="s">
        <v>148</v>
      </c>
      <c r="B1283" s="1" t="s">
        <v>10</v>
      </c>
      <c r="C1283" s="2">
        <v>41155</v>
      </c>
      <c r="D1283" s="1">
        <v>10</v>
      </c>
      <c r="E1283" s="1" t="s">
        <v>52</v>
      </c>
      <c r="I1283" s="1" t="s">
        <v>12</v>
      </c>
      <c r="J1283" s="1" t="s">
        <v>127</v>
      </c>
      <c r="K1283" s="1" t="s">
        <v>14</v>
      </c>
      <c r="L1283" s="1" t="s">
        <v>12</v>
      </c>
      <c r="M1283" s="1" t="s">
        <v>12</v>
      </c>
      <c r="N1283" s="1">
        <v>27.12</v>
      </c>
      <c r="O1283" s="1" t="s">
        <v>26</v>
      </c>
      <c r="P1283" s="1">
        <v>11</v>
      </c>
      <c r="Q1283" s="1" t="s">
        <v>16</v>
      </c>
      <c r="R1283" s="1" t="str">
        <f>IF(N1283="","",VLOOKUP(N1283,Prior_levels,2,TRUE))</f>
        <v>M</v>
      </c>
    </row>
    <row r="1284" spans="1:18" x14ac:dyDescent="0.2">
      <c r="A1284" s="1" t="s">
        <v>148</v>
      </c>
      <c r="B1284" s="1" t="s">
        <v>10</v>
      </c>
      <c r="C1284" s="2">
        <v>41155</v>
      </c>
      <c r="D1284" s="1">
        <v>10</v>
      </c>
      <c r="E1284" s="1" t="s">
        <v>52</v>
      </c>
      <c r="I1284" s="1" t="s">
        <v>12</v>
      </c>
      <c r="J1284" s="1" t="s">
        <v>127</v>
      </c>
      <c r="K1284" s="1" t="s">
        <v>14</v>
      </c>
      <c r="L1284" s="1" t="s">
        <v>12</v>
      </c>
      <c r="M1284" s="1" t="s">
        <v>12</v>
      </c>
      <c r="N1284" s="1">
        <v>27.12</v>
      </c>
      <c r="O1284" s="1" t="s">
        <v>32</v>
      </c>
      <c r="P1284" s="1" t="s">
        <v>37</v>
      </c>
      <c r="Q1284" s="1" t="s">
        <v>16</v>
      </c>
      <c r="R1284" s="1" t="str">
        <f>IF(N1284="","",VLOOKUP(N1284,Prior_levels,2,TRUE))</f>
        <v>M</v>
      </c>
    </row>
    <row r="1285" spans="1:18" x14ac:dyDescent="0.2">
      <c r="A1285" s="1" t="s">
        <v>148</v>
      </c>
      <c r="B1285" s="1" t="s">
        <v>10</v>
      </c>
      <c r="C1285" s="2">
        <v>41155</v>
      </c>
      <c r="D1285" s="1">
        <v>10</v>
      </c>
      <c r="E1285" s="1" t="s">
        <v>52</v>
      </c>
      <c r="I1285" s="1" t="s">
        <v>12</v>
      </c>
      <c r="J1285" s="1" t="s">
        <v>127</v>
      </c>
      <c r="K1285" s="1" t="s">
        <v>14</v>
      </c>
      <c r="L1285" s="1" t="s">
        <v>12</v>
      </c>
      <c r="M1285" s="1" t="s">
        <v>12</v>
      </c>
      <c r="N1285" s="1">
        <v>27.12</v>
      </c>
      <c r="O1285" s="1" t="s">
        <v>27</v>
      </c>
      <c r="P1285" s="1" t="s">
        <v>37</v>
      </c>
      <c r="Q1285" s="1" t="s">
        <v>16</v>
      </c>
      <c r="R1285" s="1" t="str">
        <f>IF(N1285="","",VLOOKUP(N1285,Prior_levels,2,TRUE))</f>
        <v>M</v>
      </c>
    </row>
    <row r="1286" spans="1:18" x14ac:dyDescent="0.2">
      <c r="A1286" s="1" t="s">
        <v>148</v>
      </c>
      <c r="B1286" s="1" t="s">
        <v>10</v>
      </c>
      <c r="C1286" s="2">
        <v>41155</v>
      </c>
      <c r="D1286" s="1">
        <v>10</v>
      </c>
      <c r="E1286" s="1" t="s">
        <v>52</v>
      </c>
      <c r="I1286" s="1" t="s">
        <v>12</v>
      </c>
      <c r="J1286" s="1" t="s">
        <v>127</v>
      </c>
      <c r="K1286" s="1" t="s">
        <v>14</v>
      </c>
      <c r="L1286" s="1" t="s">
        <v>12</v>
      </c>
      <c r="M1286" s="1" t="s">
        <v>12</v>
      </c>
      <c r="N1286" s="1">
        <v>27.12</v>
      </c>
      <c r="O1286" s="1" t="s">
        <v>29</v>
      </c>
      <c r="P1286" s="1" t="s">
        <v>37</v>
      </c>
      <c r="Q1286" s="1" t="s">
        <v>16</v>
      </c>
      <c r="R1286" s="1" t="str">
        <f>IF(N1286="","",VLOOKUP(N1286,Prior_levels,2,TRUE))</f>
        <v>M</v>
      </c>
    </row>
    <row r="1287" spans="1:18" x14ac:dyDescent="0.2">
      <c r="A1287" s="1" t="s">
        <v>148</v>
      </c>
      <c r="B1287" s="1" t="s">
        <v>10</v>
      </c>
      <c r="C1287" s="2">
        <v>41155</v>
      </c>
      <c r="D1287" s="1">
        <v>10</v>
      </c>
      <c r="E1287" s="1" t="s">
        <v>52</v>
      </c>
      <c r="I1287" s="1" t="s">
        <v>12</v>
      </c>
      <c r="J1287" s="1" t="s">
        <v>127</v>
      </c>
      <c r="K1287" s="1" t="s">
        <v>14</v>
      </c>
      <c r="L1287" s="1" t="s">
        <v>12</v>
      </c>
      <c r="M1287" s="1" t="s">
        <v>12</v>
      </c>
      <c r="N1287" s="1">
        <v>27.12</v>
      </c>
      <c r="O1287" s="1" t="s">
        <v>30</v>
      </c>
      <c r="P1287" s="1" t="s">
        <v>37</v>
      </c>
      <c r="Q1287" s="1" t="s">
        <v>16</v>
      </c>
      <c r="R1287" s="1" t="str">
        <f>IF(N1287="","",VLOOKUP(N1287,Prior_levels,2,TRUE))</f>
        <v>M</v>
      </c>
    </row>
    <row r="1288" spans="1:18" x14ac:dyDescent="0.2">
      <c r="A1288" s="1" t="s">
        <v>148</v>
      </c>
      <c r="B1288" s="1" t="s">
        <v>10</v>
      </c>
      <c r="C1288" s="2">
        <v>41155</v>
      </c>
      <c r="D1288" s="1">
        <v>10</v>
      </c>
      <c r="E1288" s="1" t="s">
        <v>52</v>
      </c>
      <c r="I1288" s="1" t="s">
        <v>12</v>
      </c>
      <c r="J1288" s="1" t="s">
        <v>127</v>
      </c>
      <c r="K1288" s="1" t="s">
        <v>14</v>
      </c>
      <c r="L1288" s="1" t="s">
        <v>12</v>
      </c>
      <c r="M1288" s="1" t="s">
        <v>12</v>
      </c>
      <c r="N1288" s="1">
        <v>27.12</v>
      </c>
      <c r="O1288" s="1" t="s">
        <v>31</v>
      </c>
      <c r="P1288" s="1" t="s">
        <v>37</v>
      </c>
      <c r="Q1288" s="1" t="s">
        <v>16</v>
      </c>
      <c r="R1288" s="1" t="str">
        <f>IF(N1288="","",VLOOKUP(N1288,Prior_levels,2,TRUE))</f>
        <v>M</v>
      </c>
    </row>
    <row r="1289" spans="1:18" x14ac:dyDescent="0.2">
      <c r="A1289" s="1" t="s">
        <v>149</v>
      </c>
      <c r="B1289" s="1" t="s">
        <v>10</v>
      </c>
      <c r="C1289" s="2">
        <v>41155</v>
      </c>
      <c r="D1289" s="1">
        <v>10</v>
      </c>
      <c r="E1289" s="1" t="s">
        <v>52</v>
      </c>
      <c r="I1289" s="1" t="s">
        <v>12</v>
      </c>
      <c r="J1289" s="1" t="s">
        <v>36</v>
      </c>
      <c r="K1289" s="1" t="s">
        <v>14</v>
      </c>
      <c r="L1289" s="1" t="s">
        <v>12</v>
      </c>
      <c r="M1289" s="1" t="s">
        <v>12</v>
      </c>
      <c r="N1289" s="1">
        <v>27.12</v>
      </c>
      <c r="O1289" s="1" t="s">
        <v>15</v>
      </c>
      <c r="P1289" s="1">
        <v>4.5</v>
      </c>
      <c r="Q1289" s="1" t="s">
        <v>16</v>
      </c>
      <c r="R1289" s="1" t="str">
        <f>IF(N1289="","",VLOOKUP(N1289,Prior_levels,2,TRUE))</f>
        <v>M</v>
      </c>
    </row>
    <row r="1290" spans="1:18" x14ac:dyDescent="0.2">
      <c r="A1290" s="1" t="s">
        <v>149</v>
      </c>
      <c r="B1290" s="1" t="s">
        <v>10</v>
      </c>
      <c r="C1290" s="2">
        <v>41155</v>
      </c>
      <c r="D1290" s="1">
        <v>10</v>
      </c>
      <c r="E1290" s="1" t="s">
        <v>52</v>
      </c>
      <c r="I1290" s="1" t="s">
        <v>12</v>
      </c>
      <c r="J1290" s="1" t="s">
        <v>36</v>
      </c>
      <c r="K1290" s="1" t="s">
        <v>14</v>
      </c>
      <c r="L1290" s="1" t="s">
        <v>12</v>
      </c>
      <c r="M1290" s="1" t="s">
        <v>12</v>
      </c>
      <c r="N1290" s="1">
        <v>27.12</v>
      </c>
      <c r="O1290" s="1" t="s">
        <v>17</v>
      </c>
      <c r="P1290" s="1">
        <v>-0.05</v>
      </c>
      <c r="Q1290" s="1" t="s">
        <v>16</v>
      </c>
      <c r="R1290" s="1" t="str">
        <f>IF(N1290="","",VLOOKUP(N1290,Prior_levels,2,TRUE))</f>
        <v>M</v>
      </c>
    </row>
    <row r="1291" spans="1:18" x14ac:dyDescent="0.2">
      <c r="A1291" s="1" t="s">
        <v>149</v>
      </c>
      <c r="B1291" s="1" t="s">
        <v>10</v>
      </c>
      <c r="C1291" s="2">
        <v>41155</v>
      </c>
      <c r="D1291" s="1">
        <v>10</v>
      </c>
      <c r="E1291" s="1" t="s">
        <v>52</v>
      </c>
      <c r="I1291" s="1" t="s">
        <v>12</v>
      </c>
      <c r="J1291" s="1" t="s">
        <v>36</v>
      </c>
      <c r="K1291" s="1" t="s">
        <v>14</v>
      </c>
      <c r="L1291" s="1" t="s">
        <v>12</v>
      </c>
      <c r="M1291" s="1" t="s">
        <v>12</v>
      </c>
      <c r="N1291" s="1">
        <v>27.12</v>
      </c>
      <c r="O1291" s="1" t="s">
        <v>18</v>
      </c>
      <c r="P1291" s="1">
        <v>10</v>
      </c>
      <c r="Q1291" s="1" t="s">
        <v>16</v>
      </c>
      <c r="R1291" s="1" t="str">
        <f>IF(N1291="","",VLOOKUP(N1291,Prior_levels,2,TRUE))</f>
        <v>M</v>
      </c>
    </row>
    <row r="1292" spans="1:18" x14ac:dyDescent="0.2">
      <c r="A1292" s="1" t="s">
        <v>149</v>
      </c>
      <c r="B1292" s="1" t="s">
        <v>10</v>
      </c>
      <c r="C1292" s="2">
        <v>41155</v>
      </c>
      <c r="D1292" s="1">
        <v>10</v>
      </c>
      <c r="E1292" s="1" t="s">
        <v>52</v>
      </c>
      <c r="I1292" s="1" t="s">
        <v>12</v>
      </c>
      <c r="J1292" s="1" t="s">
        <v>36</v>
      </c>
      <c r="K1292" s="1" t="s">
        <v>14</v>
      </c>
      <c r="L1292" s="1" t="s">
        <v>12</v>
      </c>
      <c r="M1292" s="1" t="s">
        <v>12</v>
      </c>
      <c r="N1292" s="1">
        <v>27.12</v>
      </c>
      <c r="O1292" s="1" t="s">
        <v>19</v>
      </c>
      <c r="P1292" s="1">
        <v>10</v>
      </c>
      <c r="Q1292" s="1" t="s">
        <v>16</v>
      </c>
      <c r="R1292" s="1" t="str">
        <f>IF(N1292="","",VLOOKUP(N1292,Prior_levels,2,TRUE))</f>
        <v>M</v>
      </c>
    </row>
    <row r="1293" spans="1:18" x14ac:dyDescent="0.2">
      <c r="A1293" s="1" t="s">
        <v>149</v>
      </c>
      <c r="B1293" s="1" t="s">
        <v>10</v>
      </c>
      <c r="C1293" s="2">
        <v>41155</v>
      </c>
      <c r="D1293" s="1">
        <v>10</v>
      </c>
      <c r="E1293" s="1" t="s">
        <v>52</v>
      </c>
      <c r="I1293" s="1" t="s">
        <v>12</v>
      </c>
      <c r="J1293" s="1" t="s">
        <v>36</v>
      </c>
      <c r="K1293" s="1" t="s">
        <v>14</v>
      </c>
      <c r="L1293" s="1" t="s">
        <v>12</v>
      </c>
      <c r="M1293" s="1" t="s">
        <v>12</v>
      </c>
      <c r="N1293" s="1">
        <v>27.12</v>
      </c>
      <c r="O1293" s="1" t="s">
        <v>20</v>
      </c>
      <c r="P1293" s="1">
        <v>12</v>
      </c>
      <c r="Q1293" s="1" t="s">
        <v>16</v>
      </c>
      <c r="R1293" s="1" t="str">
        <f>IF(N1293="","",VLOOKUP(N1293,Prior_levels,2,TRUE))</f>
        <v>M</v>
      </c>
    </row>
    <row r="1294" spans="1:18" x14ac:dyDescent="0.2">
      <c r="A1294" s="1" t="s">
        <v>149</v>
      </c>
      <c r="B1294" s="1" t="s">
        <v>10</v>
      </c>
      <c r="C1294" s="2">
        <v>41155</v>
      </c>
      <c r="D1294" s="1">
        <v>10</v>
      </c>
      <c r="E1294" s="1" t="s">
        <v>52</v>
      </c>
      <c r="I1294" s="1" t="s">
        <v>12</v>
      </c>
      <c r="J1294" s="1" t="s">
        <v>36</v>
      </c>
      <c r="K1294" s="1" t="s">
        <v>14</v>
      </c>
      <c r="L1294" s="1" t="s">
        <v>12</v>
      </c>
      <c r="M1294" s="1" t="s">
        <v>12</v>
      </c>
      <c r="N1294" s="1">
        <v>27.12</v>
      </c>
      <c r="O1294" s="1" t="s">
        <v>21</v>
      </c>
      <c r="P1294" s="1">
        <v>13</v>
      </c>
      <c r="Q1294" s="1" t="s">
        <v>16</v>
      </c>
      <c r="R1294" s="1" t="str">
        <f>IF(N1294="","",VLOOKUP(N1294,Prior_levels,2,TRUE))</f>
        <v>M</v>
      </c>
    </row>
    <row r="1295" spans="1:18" x14ac:dyDescent="0.2">
      <c r="A1295" s="1" t="s">
        <v>149</v>
      </c>
      <c r="B1295" s="1" t="s">
        <v>10</v>
      </c>
      <c r="C1295" s="2">
        <v>41155</v>
      </c>
      <c r="D1295" s="1">
        <v>10</v>
      </c>
      <c r="E1295" s="1" t="s">
        <v>52</v>
      </c>
      <c r="I1295" s="1" t="s">
        <v>12</v>
      </c>
      <c r="J1295" s="1" t="s">
        <v>36</v>
      </c>
      <c r="K1295" s="1" t="s">
        <v>14</v>
      </c>
      <c r="L1295" s="1" t="s">
        <v>12</v>
      </c>
      <c r="M1295" s="1" t="s">
        <v>12</v>
      </c>
      <c r="N1295" s="1">
        <v>27.12</v>
      </c>
      <c r="O1295" s="1" t="s">
        <v>22</v>
      </c>
      <c r="P1295" s="1">
        <v>-0.05</v>
      </c>
      <c r="Q1295" s="1" t="s">
        <v>16</v>
      </c>
      <c r="R1295" s="1" t="str">
        <f>IF(N1295="","",VLOOKUP(N1295,Prior_levels,2,TRUE))</f>
        <v>M</v>
      </c>
    </row>
    <row r="1296" spans="1:18" x14ac:dyDescent="0.2">
      <c r="A1296" s="1" t="s">
        <v>149</v>
      </c>
      <c r="B1296" s="1" t="s">
        <v>10</v>
      </c>
      <c r="C1296" s="2">
        <v>41155</v>
      </c>
      <c r="D1296" s="1">
        <v>10</v>
      </c>
      <c r="E1296" s="1" t="s">
        <v>52</v>
      </c>
      <c r="I1296" s="1" t="s">
        <v>12</v>
      </c>
      <c r="J1296" s="1" t="s">
        <v>36</v>
      </c>
      <c r="K1296" s="1" t="s">
        <v>14</v>
      </c>
      <c r="L1296" s="1" t="s">
        <v>12</v>
      </c>
      <c r="M1296" s="1" t="s">
        <v>12</v>
      </c>
      <c r="N1296" s="1">
        <v>27.12</v>
      </c>
      <c r="O1296" s="1" t="s">
        <v>23</v>
      </c>
      <c r="P1296" s="1">
        <v>0.36</v>
      </c>
      <c r="Q1296" s="1" t="s">
        <v>16</v>
      </c>
      <c r="R1296" s="1" t="str">
        <f>IF(N1296="","",VLOOKUP(N1296,Prior_levels,2,TRUE))</f>
        <v>M</v>
      </c>
    </row>
    <row r="1297" spans="1:18" x14ac:dyDescent="0.2">
      <c r="A1297" s="1" t="s">
        <v>149</v>
      </c>
      <c r="B1297" s="1" t="s">
        <v>10</v>
      </c>
      <c r="C1297" s="2">
        <v>41155</v>
      </c>
      <c r="D1297" s="1">
        <v>10</v>
      </c>
      <c r="E1297" s="1" t="s">
        <v>52</v>
      </c>
      <c r="I1297" s="1" t="s">
        <v>12</v>
      </c>
      <c r="J1297" s="1" t="s">
        <v>36</v>
      </c>
      <c r="K1297" s="1" t="s">
        <v>14</v>
      </c>
      <c r="L1297" s="1" t="s">
        <v>12</v>
      </c>
      <c r="M1297" s="1" t="s">
        <v>12</v>
      </c>
      <c r="N1297" s="1">
        <v>27.12</v>
      </c>
      <c r="O1297" s="1" t="s">
        <v>24</v>
      </c>
      <c r="P1297" s="1">
        <v>0.75</v>
      </c>
      <c r="Q1297" s="1" t="s">
        <v>16</v>
      </c>
      <c r="R1297" s="1" t="str">
        <f>IF(N1297="","",VLOOKUP(N1297,Prior_levels,2,TRUE))</f>
        <v>M</v>
      </c>
    </row>
    <row r="1298" spans="1:18" x14ac:dyDescent="0.2">
      <c r="A1298" s="1" t="s">
        <v>149</v>
      </c>
      <c r="B1298" s="1" t="s">
        <v>10</v>
      </c>
      <c r="C1298" s="2">
        <v>41155</v>
      </c>
      <c r="D1298" s="1">
        <v>10</v>
      </c>
      <c r="E1298" s="1" t="s">
        <v>52</v>
      </c>
      <c r="I1298" s="1" t="s">
        <v>12</v>
      </c>
      <c r="J1298" s="1" t="s">
        <v>36</v>
      </c>
      <c r="K1298" s="1" t="s">
        <v>14</v>
      </c>
      <c r="L1298" s="1" t="s">
        <v>12</v>
      </c>
      <c r="M1298" s="1" t="s">
        <v>12</v>
      </c>
      <c r="N1298" s="1">
        <v>27.12</v>
      </c>
      <c r="O1298" s="1" t="s">
        <v>25</v>
      </c>
      <c r="P1298" s="1">
        <v>-1.89</v>
      </c>
      <c r="Q1298" s="1" t="s">
        <v>16</v>
      </c>
      <c r="R1298" s="1" t="str">
        <f>IF(N1298="","",VLOOKUP(N1298,Prior_levels,2,TRUE))</f>
        <v>M</v>
      </c>
    </row>
    <row r="1299" spans="1:18" x14ac:dyDescent="0.2">
      <c r="A1299" s="1" t="s">
        <v>149</v>
      </c>
      <c r="B1299" s="1" t="s">
        <v>10</v>
      </c>
      <c r="C1299" s="2">
        <v>41155</v>
      </c>
      <c r="D1299" s="1">
        <v>10</v>
      </c>
      <c r="E1299" s="1" t="s">
        <v>52</v>
      </c>
      <c r="I1299" s="1" t="s">
        <v>12</v>
      </c>
      <c r="J1299" s="1" t="s">
        <v>36</v>
      </c>
      <c r="K1299" s="1" t="s">
        <v>14</v>
      </c>
      <c r="L1299" s="1" t="s">
        <v>12</v>
      </c>
      <c r="M1299" s="1" t="s">
        <v>12</v>
      </c>
      <c r="N1299" s="1">
        <v>27.12</v>
      </c>
      <c r="O1299" s="1" t="s">
        <v>26</v>
      </c>
      <c r="P1299" s="1">
        <v>11</v>
      </c>
      <c r="Q1299" s="1" t="s">
        <v>16</v>
      </c>
      <c r="R1299" s="1" t="str">
        <f>IF(N1299="","",VLOOKUP(N1299,Prior_levels,2,TRUE))</f>
        <v>M</v>
      </c>
    </row>
    <row r="1300" spans="1:18" x14ac:dyDescent="0.2">
      <c r="A1300" s="1" t="s">
        <v>149</v>
      </c>
      <c r="B1300" s="1" t="s">
        <v>10</v>
      </c>
      <c r="C1300" s="2">
        <v>41155</v>
      </c>
      <c r="D1300" s="1">
        <v>10</v>
      </c>
      <c r="E1300" s="1" t="s">
        <v>52</v>
      </c>
      <c r="I1300" s="1" t="s">
        <v>12</v>
      </c>
      <c r="J1300" s="1" t="s">
        <v>36</v>
      </c>
      <c r="K1300" s="1" t="s">
        <v>14</v>
      </c>
      <c r="L1300" s="1" t="s">
        <v>12</v>
      </c>
      <c r="M1300" s="1" t="s">
        <v>12</v>
      </c>
      <c r="N1300" s="1">
        <v>27.12</v>
      </c>
      <c r="O1300" s="1" t="s">
        <v>27</v>
      </c>
      <c r="P1300" s="1" t="s">
        <v>37</v>
      </c>
      <c r="Q1300" s="1" t="s">
        <v>16</v>
      </c>
      <c r="R1300" s="1" t="str">
        <f>IF(N1300="","",VLOOKUP(N1300,Prior_levels,2,TRUE))</f>
        <v>M</v>
      </c>
    </row>
    <row r="1301" spans="1:18" x14ac:dyDescent="0.2">
      <c r="A1301" s="1" t="s">
        <v>149</v>
      </c>
      <c r="B1301" s="1" t="s">
        <v>10</v>
      </c>
      <c r="C1301" s="2">
        <v>41155</v>
      </c>
      <c r="D1301" s="1">
        <v>10</v>
      </c>
      <c r="E1301" s="1" t="s">
        <v>52</v>
      </c>
      <c r="I1301" s="1" t="s">
        <v>12</v>
      </c>
      <c r="J1301" s="1" t="s">
        <v>36</v>
      </c>
      <c r="K1301" s="1" t="s">
        <v>14</v>
      </c>
      <c r="L1301" s="1" t="s">
        <v>12</v>
      </c>
      <c r="M1301" s="1" t="s">
        <v>12</v>
      </c>
      <c r="N1301" s="1">
        <v>27.12</v>
      </c>
      <c r="O1301" s="1" t="s">
        <v>29</v>
      </c>
      <c r="P1301" s="1" t="s">
        <v>37</v>
      </c>
      <c r="Q1301" s="1" t="s">
        <v>16</v>
      </c>
      <c r="R1301" s="1" t="str">
        <f>IF(N1301="","",VLOOKUP(N1301,Prior_levels,2,TRUE))</f>
        <v>M</v>
      </c>
    </row>
    <row r="1302" spans="1:18" x14ac:dyDescent="0.2">
      <c r="A1302" s="1" t="s">
        <v>149</v>
      </c>
      <c r="B1302" s="1" t="s">
        <v>10</v>
      </c>
      <c r="C1302" s="2">
        <v>41155</v>
      </c>
      <c r="D1302" s="1">
        <v>10</v>
      </c>
      <c r="E1302" s="1" t="s">
        <v>52</v>
      </c>
      <c r="I1302" s="1" t="s">
        <v>12</v>
      </c>
      <c r="J1302" s="1" t="s">
        <v>36</v>
      </c>
      <c r="K1302" s="1" t="s">
        <v>14</v>
      </c>
      <c r="L1302" s="1" t="s">
        <v>12</v>
      </c>
      <c r="M1302" s="1" t="s">
        <v>12</v>
      </c>
      <c r="N1302" s="1">
        <v>27.12</v>
      </c>
      <c r="O1302" s="1" t="s">
        <v>30</v>
      </c>
      <c r="P1302" s="1" t="s">
        <v>37</v>
      </c>
      <c r="Q1302" s="1" t="s">
        <v>16</v>
      </c>
      <c r="R1302" s="1" t="str">
        <f>IF(N1302="","",VLOOKUP(N1302,Prior_levels,2,TRUE))</f>
        <v>M</v>
      </c>
    </row>
    <row r="1303" spans="1:18" x14ac:dyDescent="0.2">
      <c r="A1303" s="1" t="s">
        <v>149</v>
      </c>
      <c r="B1303" s="1" t="s">
        <v>10</v>
      </c>
      <c r="C1303" s="2">
        <v>41155</v>
      </c>
      <c r="D1303" s="1">
        <v>10</v>
      </c>
      <c r="E1303" s="1" t="s">
        <v>52</v>
      </c>
      <c r="I1303" s="1" t="s">
        <v>12</v>
      </c>
      <c r="J1303" s="1" t="s">
        <v>36</v>
      </c>
      <c r="K1303" s="1" t="s">
        <v>14</v>
      </c>
      <c r="L1303" s="1" t="s">
        <v>12</v>
      </c>
      <c r="M1303" s="1" t="s">
        <v>12</v>
      </c>
      <c r="N1303" s="1">
        <v>27.12</v>
      </c>
      <c r="O1303" s="1" t="s">
        <v>31</v>
      </c>
      <c r="P1303" s="1" t="s">
        <v>37</v>
      </c>
      <c r="Q1303" s="1" t="s">
        <v>16</v>
      </c>
      <c r="R1303" s="1" t="str">
        <f>IF(N1303="","",VLOOKUP(N1303,Prior_levels,2,TRUE))</f>
        <v>M</v>
      </c>
    </row>
    <row r="1304" spans="1:18" x14ac:dyDescent="0.2">
      <c r="A1304" s="1" t="s">
        <v>149</v>
      </c>
      <c r="B1304" s="1" t="s">
        <v>10</v>
      </c>
      <c r="C1304" s="2">
        <v>41155</v>
      </c>
      <c r="D1304" s="1">
        <v>10</v>
      </c>
      <c r="E1304" s="1" t="s">
        <v>52</v>
      </c>
      <c r="I1304" s="1" t="s">
        <v>12</v>
      </c>
      <c r="J1304" s="1" t="s">
        <v>36</v>
      </c>
      <c r="K1304" s="1" t="s">
        <v>14</v>
      </c>
      <c r="L1304" s="1" t="s">
        <v>12</v>
      </c>
      <c r="M1304" s="1" t="s">
        <v>12</v>
      </c>
      <c r="N1304" s="1">
        <v>27.12</v>
      </c>
      <c r="O1304" s="1" t="s">
        <v>32</v>
      </c>
      <c r="P1304" s="1" t="s">
        <v>37</v>
      </c>
      <c r="Q1304" s="1" t="s">
        <v>16</v>
      </c>
      <c r="R1304" s="1" t="str">
        <f>IF(N1304="","",VLOOKUP(N1304,Prior_levels,2,TRUE))</f>
        <v>M</v>
      </c>
    </row>
    <row r="1305" spans="1:18" x14ac:dyDescent="0.2">
      <c r="A1305" s="1" t="s">
        <v>150</v>
      </c>
      <c r="B1305" s="1" t="s">
        <v>10</v>
      </c>
      <c r="C1305" s="2">
        <v>41155</v>
      </c>
      <c r="D1305" s="1">
        <v>10</v>
      </c>
      <c r="E1305" s="1" t="s">
        <v>34</v>
      </c>
      <c r="I1305" s="1" t="s">
        <v>12</v>
      </c>
      <c r="J1305" s="1" t="s">
        <v>151</v>
      </c>
      <c r="K1305" s="1" t="s">
        <v>14</v>
      </c>
      <c r="L1305" s="1" t="s">
        <v>12</v>
      </c>
      <c r="M1305" s="1" t="s">
        <v>12</v>
      </c>
      <c r="N1305" s="1">
        <v>21.12</v>
      </c>
      <c r="O1305" s="1" t="s">
        <v>15</v>
      </c>
      <c r="P1305" s="1">
        <v>3.35</v>
      </c>
      <c r="Q1305" s="1" t="s">
        <v>16</v>
      </c>
      <c r="R1305" s="1" t="str">
        <f>IF(N1305="","",VLOOKUP(N1305,Prior_levels,2,TRUE))</f>
        <v>L</v>
      </c>
    </row>
    <row r="1306" spans="1:18" x14ac:dyDescent="0.2">
      <c r="A1306" s="1" t="s">
        <v>150</v>
      </c>
      <c r="B1306" s="1" t="s">
        <v>10</v>
      </c>
      <c r="C1306" s="2">
        <v>41155</v>
      </c>
      <c r="D1306" s="1">
        <v>10</v>
      </c>
      <c r="E1306" s="1" t="s">
        <v>34</v>
      </c>
      <c r="I1306" s="1" t="s">
        <v>12</v>
      </c>
      <c r="J1306" s="1" t="s">
        <v>151</v>
      </c>
      <c r="K1306" s="1" t="s">
        <v>14</v>
      </c>
      <c r="L1306" s="1" t="s">
        <v>12</v>
      </c>
      <c r="M1306" s="1" t="s">
        <v>12</v>
      </c>
      <c r="N1306" s="1">
        <v>21.12</v>
      </c>
      <c r="O1306" s="1" t="s">
        <v>17</v>
      </c>
      <c r="P1306" s="1">
        <v>0.52</v>
      </c>
      <c r="Q1306" s="1" t="s">
        <v>16</v>
      </c>
      <c r="R1306" s="1" t="str">
        <f>IF(N1306="","",VLOOKUP(N1306,Prior_levels,2,TRUE))</f>
        <v>L</v>
      </c>
    </row>
    <row r="1307" spans="1:18" x14ac:dyDescent="0.2">
      <c r="A1307" s="1" t="s">
        <v>150</v>
      </c>
      <c r="B1307" s="1" t="s">
        <v>10</v>
      </c>
      <c r="C1307" s="2">
        <v>41155</v>
      </c>
      <c r="D1307" s="1">
        <v>10</v>
      </c>
      <c r="E1307" s="1" t="s">
        <v>34</v>
      </c>
      <c r="I1307" s="1" t="s">
        <v>12</v>
      </c>
      <c r="J1307" s="1" t="s">
        <v>151</v>
      </c>
      <c r="K1307" s="1" t="s">
        <v>14</v>
      </c>
      <c r="L1307" s="1" t="s">
        <v>12</v>
      </c>
      <c r="M1307" s="1" t="s">
        <v>12</v>
      </c>
      <c r="N1307" s="1">
        <v>21.12</v>
      </c>
      <c r="O1307" s="1" t="s">
        <v>18</v>
      </c>
      <c r="P1307" s="1">
        <v>8</v>
      </c>
      <c r="Q1307" s="1" t="s">
        <v>16</v>
      </c>
      <c r="R1307" s="1" t="str">
        <f>IF(N1307="","",VLOOKUP(N1307,Prior_levels,2,TRUE))</f>
        <v>L</v>
      </c>
    </row>
    <row r="1308" spans="1:18" x14ac:dyDescent="0.2">
      <c r="A1308" s="1" t="s">
        <v>150</v>
      </c>
      <c r="B1308" s="1" t="s">
        <v>10</v>
      </c>
      <c r="C1308" s="2">
        <v>41155</v>
      </c>
      <c r="D1308" s="1">
        <v>10</v>
      </c>
      <c r="E1308" s="1" t="s">
        <v>34</v>
      </c>
      <c r="I1308" s="1" t="s">
        <v>12</v>
      </c>
      <c r="J1308" s="1" t="s">
        <v>151</v>
      </c>
      <c r="K1308" s="1" t="s">
        <v>14</v>
      </c>
      <c r="L1308" s="1" t="s">
        <v>12</v>
      </c>
      <c r="M1308" s="1" t="s">
        <v>12</v>
      </c>
      <c r="N1308" s="1">
        <v>21.12</v>
      </c>
      <c r="O1308" s="1" t="s">
        <v>19</v>
      </c>
      <c r="P1308" s="1">
        <v>6</v>
      </c>
      <c r="Q1308" s="1" t="s">
        <v>16</v>
      </c>
      <c r="R1308" s="1" t="str">
        <f>IF(N1308="","",VLOOKUP(N1308,Prior_levels,2,TRUE))</f>
        <v>L</v>
      </c>
    </row>
    <row r="1309" spans="1:18" x14ac:dyDescent="0.2">
      <c r="A1309" s="1" t="s">
        <v>150</v>
      </c>
      <c r="B1309" s="1" t="s">
        <v>10</v>
      </c>
      <c r="C1309" s="2">
        <v>41155</v>
      </c>
      <c r="D1309" s="1">
        <v>10</v>
      </c>
      <c r="E1309" s="1" t="s">
        <v>34</v>
      </c>
      <c r="I1309" s="1" t="s">
        <v>12</v>
      </c>
      <c r="J1309" s="1" t="s">
        <v>151</v>
      </c>
      <c r="K1309" s="1" t="s">
        <v>14</v>
      </c>
      <c r="L1309" s="1" t="s">
        <v>12</v>
      </c>
      <c r="M1309" s="1" t="s">
        <v>12</v>
      </c>
      <c r="N1309" s="1">
        <v>21.12</v>
      </c>
      <c r="O1309" s="1" t="s">
        <v>20</v>
      </c>
      <c r="P1309" s="1">
        <v>8</v>
      </c>
      <c r="Q1309" s="1" t="s">
        <v>16</v>
      </c>
      <c r="R1309" s="1" t="str">
        <f>IF(N1309="","",VLOOKUP(N1309,Prior_levels,2,TRUE))</f>
        <v>L</v>
      </c>
    </row>
    <row r="1310" spans="1:18" x14ac:dyDescent="0.2">
      <c r="A1310" s="1" t="s">
        <v>150</v>
      </c>
      <c r="B1310" s="1" t="s">
        <v>10</v>
      </c>
      <c r="C1310" s="2">
        <v>41155</v>
      </c>
      <c r="D1310" s="1">
        <v>10</v>
      </c>
      <c r="E1310" s="1" t="s">
        <v>34</v>
      </c>
      <c r="I1310" s="1" t="s">
        <v>12</v>
      </c>
      <c r="J1310" s="1" t="s">
        <v>151</v>
      </c>
      <c r="K1310" s="1" t="s">
        <v>14</v>
      </c>
      <c r="L1310" s="1" t="s">
        <v>12</v>
      </c>
      <c r="M1310" s="1" t="s">
        <v>12</v>
      </c>
      <c r="N1310" s="1">
        <v>21.12</v>
      </c>
      <c r="O1310" s="1" t="s">
        <v>21</v>
      </c>
      <c r="P1310" s="1">
        <v>11.5</v>
      </c>
      <c r="Q1310" s="1" t="s">
        <v>16</v>
      </c>
      <c r="R1310" s="1" t="str">
        <f>IF(N1310="","",VLOOKUP(N1310,Prior_levels,2,TRUE))</f>
        <v>L</v>
      </c>
    </row>
    <row r="1311" spans="1:18" x14ac:dyDescent="0.2">
      <c r="A1311" s="1" t="s">
        <v>150</v>
      </c>
      <c r="B1311" s="1" t="s">
        <v>10</v>
      </c>
      <c r="C1311" s="2">
        <v>41155</v>
      </c>
      <c r="D1311" s="1">
        <v>10</v>
      </c>
      <c r="E1311" s="1" t="s">
        <v>34</v>
      </c>
      <c r="I1311" s="1" t="s">
        <v>12</v>
      </c>
      <c r="J1311" s="1" t="s">
        <v>151</v>
      </c>
      <c r="K1311" s="1" t="s">
        <v>14</v>
      </c>
      <c r="L1311" s="1" t="s">
        <v>12</v>
      </c>
      <c r="M1311" s="1" t="s">
        <v>12</v>
      </c>
      <c r="N1311" s="1">
        <v>21.12</v>
      </c>
      <c r="O1311" s="1" t="s">
        <v>22</v>
      </c>
      <c r="P1311" s="1">
        <v>0.34</v>
      </c>
      <c r="Q1311" s="1" t="s">
        <v>16</v>
      </c>
      <c r="R1311" s="1" t="str">
        <f>IF(N1311="","",VLOOKUP(N1311,Prior_levels,2,TRUE))</f>
        <v>L</v>
      </c>
    </row>
    <row r="1312" spans="1:18" x14ac:dyDescent="0.2">
      <c r="A1312" s="1" t="s">
        <v>150</v>
      </c>
      <c r="B1312" s="1" t="s">
        <v>10</v>
      </c>
      <c r="C1312" s="2">
        <v>41155</v>
      </c>
      <c r="D1312" s="1">
        <v>10</v>
      </c>
      <c r="E1312" s="1" t="s">
        <v>34</v>
      </c>
      <c r="I1312" s="1" t="s">
        <v>12</v>
      </c>
      <c r="J1312" s="1" t="s">
        <v>151</v>
      </c>
      <c r="K1312" s="1" t="s">
        <v>14</v>
      </c>
      <c r="L1312" s="1" t="s">
        <v>12</v>
      </c>
      <c r="M1312" s="1" t="s">
        <v>12</v>
      </c>
      <c r="N1312" s="1">
        <v>21.12</v>
      </c>
      <c r="O1312" s="1" t="s">
        <v>23</v>
      </c>
      <c r="P1312" s="1">
        <v>0.39</v>
      </c>
      <c r="Q1312" s="1" t="s">
        <v>16</v>
      </c>
      <c r="R1312" s="1" t="str">
        <f>IF(N1312="","",VLOOKUP(N1312,Prior_levels,2,TRUE))</f>
        <v>L</v>
      </c>
    </row>
    <row r="1313" spans="1:18" x14ac:dyDescent="0.2">
      <c r="A1313" s="1" t="s">
        <v>150</v>
      </c>
      <c r="B1313" s="1" t="s">
        <v>10</v>
      </c>
      <c r="C1313" s="2">
        <v>41155</v>
      </c>
      <c r="D1313" s="1">
        <v>10</v>
      </c>
      <c r="E1313" s="1" t="s">
        <v>34</v>
      </c>
      <c r="I1313" s="1" t="s">
        <v>12</v>
      </c>
      <c r="J1313" s="1" t="s">
        <v>151</v>
      </c>
      <c r="K1313" s="1" t="s">
        <v>14</v>
      </c>
      <c r="L1313" s="1" t="s">
        <v>12</v>
      </c>
      <c r="M1313" s="1" t="s">
        <v>12</v>
      </c>
      <c r="N1313" s="1">
        <v>21.12</v>
      </c>
      <c r="O1313" s="1" t="s">
        <v>25</v>
      </c>
      <c r="P1313" s="1">
        <v>0.3</v>
      </c>
      <c r="Q1313" s="1" t="s">
        <v>16</v>
      </c>
      <c r="R1313" s="1" t="str">
        <f>IF(N1313="","",VLOOKUP(N1313,Prior_levels,2,TRUE))</f>
        <v>L</v>
      </c>
    </row>
    <row r="1314" spans="1:18" x14ac:dyDescent="0.2">
      <c r="A1314" s="1" t="s">
        <v>150</v>
      </c>
      <c r="B1314" s="1" t="s">
        <v>10</v>
      </c>
      <c r="C1314" s="2">
        <v>41155</v>
      </c>
      <c r="D1314" s="1">
        <v>10</v>
      </c>
      <c r="E1314" s="1" t="s">
        <v>34</v>
      </c>
      <c r="I1314" s="1" t="s">
        <v>12</v>
      </c>
      <c r="J1314" s="1" t="s">
        <v>151</v>
      </c>
      <c r="K1314" s="1" t="s">
        <v>14</v>
      </c>
      <c r="L1314" s="1" t="s">
        <v>12</v>
      </c>
      <c r="M1314" s="1" t="s">
        <v>12</v>
      </c>
      <c r="N1314" s="1">
        <v>21.12</v>
      </c>
      <c r="O1314" s="1" t="s">
        <v>26</v>
      </c>
      <c r="P1314" s="1">
        <v>1</v>
      </c>
      <c r="Q1314" s="1" t="s">
        <v>16</v>
      </c>
      <c r="R1314" s="1" t="str">
        <f>IF(N1314="","",VLOOKUP(N1314,Prior_levels,2,TRUE))</f>
        <v>L</v>
      </c>
    </row>
    <row r="1315" spans="1:18" x14ac:dyDescent="0.2">
      <c r="A1315" s="1" t="s">
        <v>150</v>
      </c>
      <c r="B1315" s="1" t="s">
        <v>10</v>
      </c>
      <c r="C1315" s="2">
        <v>41155</v>
      </c>
      <c r="D1315" s="1">
        <v>10</v>
      </c>
      <c r="E1315" s="1" t="s">
        <v>34</v>
      </c>
      <c r="I1315" s="1" t="s">
        <v>12</v>
      </c>
      <c r="J1315" s="1" t="s">
        <v>151</v>
      </c>
      <c r="K1315" s="1" t="s">
        <v>14</v>
      </c>
      <c r="L1315" s="1" t="s">
        <v>12</v>
      </c>
      <c r="M1315" s="1" t="s">
        <v>12</v>
      </c>
      <c r="N1315" s="1">
        <v>21.12</v>
      </c>
      <c r="O1315" s="1" t="s">
        <v>24</v>
      </c>
      <c r="P1315" s="1">
        <v>3.49</v>
      </c>
      <c r="Q1315" s="1" t="s">
        <v>16</v>
      </c>
      <c r="R1315" s="1" t="str">
        <f>IF(N1315="","",VLOOKUP(N1315,Prior_levels,2,TRUE))</f>
        <v>L</v>
      </c>
    </row>
    <row r="1316" spans="1:18" x14ac:dyDescent="0.2">
      <c r="A1316" s="1" t="s">
        <v>150</v>
      </c>
      <c r="B1316" s="1" t="s">
        <v>10</v>
      </c>
      <c r="C1316" s="2">
        <v>41155</v>
      </c>
      <c r="D1316" s="1">
        <v>10</v>
      </c>
      <c r="E1316" s="1" t="s">
        <v>34</v>
      </c>
      <c r="I1316" s="1" t="s">
        <v>12</v>
      </c>
      <c r="J1316" s="1" t="s">
        <v>151</v>
      </c>
      <c r="K1316" s="1" t="s">
        <v>14</v>
      </c>
      <c r="L1316" s="1" t="s">
        <v>12</v>
      </c>
      <c r="M1316" s="1" t="s">
        <v>12</v>
      </c>
      <c r="N1316" s="1">
        <v>21.12</v>
      </c>
      <c r="O1316" s="1" t="s">
        <v>32</v>
      </c>
      <c r="P1316" s="1" t="s">
        <v>28</v>
      </c>
      <c r="Q1316" s="1" t="s">
        <v>16</v>
      </c>
      <c r="R1316" s="1" t="str">
        <f>IF(N1316="","",VLOOKUP(N1316,Prior_levels,2,TRUE))</f>
        <v>L</v>
      </c>
    </row>
    <row r="1317" spans="1:18" x14ac:dyDescent="0.2">
      <c r="A1317" s="1" t="s">
        <v>150</v>
      </c>
      <c r="B1317" s="1" t="s">
        <v>10</v>
      </c>
      <c r="C1317" s="2">
        <v>41155</v>
      </c>
      <c r="D1317" s="1">
        <v>10</v>
      </c>
      <c r="E1317" s="1" t="s">
        <v>34</v>
      </c>
      <c r="I1317" s="1" t="s">
        <v>12</v>
      </c>
      <c r="J1317" s="1" t="s">
        <v>151</v>
      </c>
      <c r="K1317" s="1" t="s">
        <v>14</v>
      </c>
      <c r="L1317" s="1" t="s">
        <v>12</v>
      </c>
      <c r="M1317" s="1" t="s">
        <v>12</v>
      </c>
      <c r="N1317" s="1">
        <v>21.12</v>
      </c>
      <c r="O1317" s="1" t="s">
        <v>27</v>
      </c>
      <c r="P1317" s="1" t="s">
        <v>28</v>
      </c>
      <c r="Q1317" s="1" t="s">
        <v>16</v>
      </c>
      <c r="R1317" s="1" t="str">
        <f>IF(N1317="","",VLOOKUP(N1317,Prior_levels,2,TRUE))</f>
        <v>L</v>
      </c>
    </row>
    <row r="1318" spans="1:18" x14ac:dyDescent="0.2">
      <c r="A1318" s="1" t="s">
        <v>150</v>
      </c>
      <c r="B1318" s="1" t="s">
        <v>10</v>
      </c>
      <c r="C1318" s="2">
        <v>41155</v>
      </c>
      <c r="D1318" s="1">
        <v>10</v>
      </c>
      <c r="E1318" s="1" t="s">
        <v>34</v>
      </c>
      <c r="I1318" s="1" t="s">
        <v>12</v>
      </c>
      <c r="J1318" s="1" t="s">
        <v>151</v>
      </c>
      <c r="K1318" s="1" t="s">
        <v>14</v>
      </c>
      <c r="L1318" s="1" t="s">
        <v>12</v>
      </c>
      <c r="M1318" s="1" t="s">
        <v>12</v>
      </c>
      <c r="N1318" s="1">
        <v>21.12</v>
      </c>
      <c r="O1318" s="1" t="s">
        <v>29</v>
      </c>
      <c r="P1318" s="1" t="s">
        <v>28</v>
      </c>
      <c r="Q1318" s="1" t="s">
        <v>16</v>
      </c>
      <c r="R1318" s="1" t="str">
        <f>IF(N1318="","",VLOOKUP(N1318,Prior_levels,2,TRUE))</f>
        <v>L</v>
      </c>
    </row>
    <row r="1319" spans="1:18" x14ac:dyDescent="0.2">
      <c r="A1319" s="1" t="s">
        <v>150</v>
      </c>
      <c r="B1319" s="1" t="s">
        <v>10</v>
      </c>
      <c r="C1319" s="2">
        <v>41155</v>
      </c>
      <c r="D1319" s="1">
        <v>10</v>
      </c>
      <c r="E1319" s="1" t="s">
        <v>34</v>
      </c>
      <c r="I1319" s="1" t="s">
        <v>12</v>
      </c>
      <c r="J1319" s="1" t="s">
        <v>151</v>
      </c>
      <c r="K1319" s="1" t="s">
        <v>14</v>
      </c>
      <c r="L1319" s="1" t="s">
        <v>12</v>
      </c>
      <c r="M1319" s="1" t="s">
        <v>12</v>
      </c>
      <c r="N1319" s="1">
        <v>21.12</v>
      </c>
      <c r="O1319" s="1" t="s">
        <v>30</v>
      </c>
      <c r="P1319" s="1" t="s">
        <v>28</v>
      </c>
      <c r="Q1319" s="1" t="s">
        <v>16</v>
      </c>
      <c r="R1319" s="1" t="str">
        <f>IF(N1319="","",VLOOKUP(N1319,Prior_levels,2,TRUE))</f>
        <v>L</v>
      </c>
    </row>
    <row r="1320" spans="1:18" x14ac:dyDescent="0.2">
      <c r="A1320" s="1" t="s">
        <v>150</v>
      </c>
      <c r="B1320" s="1" t="s">
        <v>10</v>
      </c>
      <c r="C1320" s="2">
        <v>41155</v>
      </c>
      <c r="D1320" s="1">
        <v>10</v>
      </c>
      <c r="E1320" s="1" t="s">
        <v>34</v>
      </c>
      <c r="I1320" s="1" t="s">
        <v>12</v>
      </c>
      <c r="J1320" s="1" t="s">
        <v>151</v>
      </c>
      <c r="K1320" s="1" t="s">
        <v>14</v>
      </c>
      <c r="L1320" s="1" t="s">
        <v>12</v>
      </c>
      <c r="M1320" s="1" t="s">
        <v>12</v>
      </c>
      <c r="N1320" s="1">
        <v>21.12</v>
      </c>
      <c r="O1320" s="1" t="s">
        <v>31</v>
      </c>
      <c r="P1320" s="1" t="s">
        <v>28</v>
      </c>
      <c r="Q1320" s="1" t="s">
        <v>16</v>
      </c>
      <c r="R1320" s="1" t="str">
        <f>IF(N1320="","",VLOOKUP(N1320,Prior_levels,2,TRUE))</f>
        <v>L</v>
      </c>
    </row>
    <row r="1321" spans="1:18" x14ac:dyDescent="0.2">
      <c r="A1321" s="1" t="s">
        <v>152</v>
      </c>
      <c r="B1321" s="1" t="s">
        <v>12</v>
      </c>
      <c r="C1321" s="2">
        <v>41155</v>
      </c>
      <c r="D1321" s="1">
        <v>10</v>
      </c>
      <c r="E1321" s="1" t="s">
        <v>34</v>
      </c>
      <c r="I1321" s="1" t="s">
        <v>12</v>
      </c>
      <c r="J1321" s="1" t="s">
        <v>40</v>
      </c>
      <c r="K1321" s="1" t="s">
        <v>14</v>
      </c>
      <c r="L1321" s="1" t="s">
        <v>12</v>
      </c>
      <c r="M1321" s="1" t="s">
        <v>12</v>
      </c>
      <c r="N1321" s="1">
        <v>27.12</v>
      </c>
      <c r="O1321" s="1" t="s">
        <v>15</v>
      </c>
      <c r="P1321" s="1">
        <v>3.5</v>
      </c>
      <c r="Q1321" s="1" t="s">
        <v>16</v>
      </c>
      <c r="R1321" s="1" t="str">
        <f>IF(N1321="","",VLOOKUP(N1321,Prior_levels,2,TRUE))</f>
        <v>M</v>
      </c>
    </row>
    <row r="1322" spans="1:18" x14ac:dyDescent="0.2">
      <c r="A1322" s="1" t="s">
        <v>152</v>
      </c>
      <c r="B1322" s="1" t="s">
        <v>12</v>
      </c>
      <c r="C1322" s="2">
        <v>41155</v>
      </c>
      <c r="D1322" s="1">
        <v>10</v>
      </c>
      <c r="E1322" s="1" t="s">
        <v>34</v>
      </c>
      <c r="I1322" s="1" t="s">
        <v>12</v>
      </c>
      <c r="J1322" s="1" t="s">
        <v>40</v>
      </c>
      <c r="K1322" s="1" t="s">
        <v>14</v>
      </c>
      <c r="L1322" s="1" t="s">
        <v>12</v>
      </c>
      <c r="M1322" s="1" t="s">
        <v>12</v>
      </c>
      <c r="N1322" s="1">
        <v>27.12</v>
      </c>
      <c r="O1322" s="1" t="s">
        <v>17</v>
      </c>
      <c r="P1322" s="1">
        <v>-1.05</v>
      </c>
      <c r="Q1322" s="1" t="s">
        <v>16</v>
      </c>
      <c r="R1322" s="1" t="str">
        <f>IF(N1322="","",VLOOKUP(N1322,Prior_levels,2,TRUE))</f>
        <v>M</v>
      </c>
    </row>
    <row r="1323" spans="1:18" x14ac:dyDescent="0.2">
      <c r="A1323" s="1" t="s">
        <v>152</v>
      </c>
      <c r="B1323" s="1" t="s">
        <v>12</v>
      </c>
      <c r="C1323" s="2">
        <v>41155</v>
      </c>
      <c r="D1323" s="1">
        <v>10</v>
      </c>
      <c r="E1323" s="1" t="s">
        <v>34</v>
      </c>
      <c r="I1323" s="1" t="s">
        <v>12</v>
      </c>
      <c r="J1323" s="1" t="s">
        <v>40</v>
      </c>
      <c r="K1323" s="1" t="s">
        <v>14</v>
      </c>
      <c r="L1323" s="1" t="s">
        <v>12</v>
      </c>
      <c r="M1323" s="1" t="s">
        <v>12</v>
      </c>
      <c r="N1323" s="1">
        <v>27.12</v>
      </c>
      <c r="O1323" s="1" t="s">
        <v>18</v>
      </c>
      <c r="P1323" s="1">
        <v>8</v>
      </c>
      <c r="Q1323" s="1" t="s">
        <v>16</v>
      </c>
      <c r="R1323" s="1" t="str">
        <f>IF(N1323="","",VLOOKUP(N1323,Prior_levels,2,TRUE))</f>
        <v>M</v>
      </c>
    </row>
    <row r="1324" spans="1:18" x14ac:dyDescent="0.2">
      <c r="A1324" s="1" t="s">
        <v>152</v>
      </c>
      <c r="B1324" s="1" t="s">
        <v>12</v>
      </c>
      <c r="C1324" s="2">
        <v>41155</v>
      </c>
      <c r="D1324" s="1">
        <v>10</v>
      </c>
      <c r="E1324" s="1" t="s">
        <v>34</v>
      </c>
      <c r="I1324" s="1" t="s">
        <v>12</v>
      </c>
      <c r="J1324" s="1" t="s">
        <v>40</v>
      </c>
      <c r="K1324" s="1" t="s">
        <v>14</v>
      </c>
      <c r="L1324" s="1" t="s">
        <v>12</v>
      </c>
      <c r="M1324" s="1" t="s">
        <v>12</v>
      </c>
      <c r="N1324" s="1">
        <v>27.12</v>
      </c>
      <c r="O1324" s="1" t="s">
        <v>19</v>
      </c>
      <c r="P1324" s="1">
        <v>8</v>
      </c>
      <c r="Q1324" s="1" t="s">
        <v>16</v>
      </c>
      <c r="R1324" s="1" t="str">
        <f>IF(N1324="","",VLOOKUP(N1324,Prior_levels,2,TRUE))</f>
        <v>M</v>
      </c>
    </row>
    <row r="1325" spans="1:18" x14ac:dyDescent="0.2">
      <c r="A1325" s="1" t="s">
        <v>152</v>
      </c>
      <c r="B1325" s="1" t="s">
        <v>12</v>
      </c>
      <c r="C1325" s="2">
        <v>41155</v>
      </c>
      <c r="D1325" s="1">
        <v>10</v>
      </c>
      <c r="E1325" s="1" t="s">
        <v>34</v>
      </c>
      <c r="I1325" s="1" t="s">
        <v>12</v>
      </c>
      <c r="J1325" s="1" t="s">
        <v>40</v>
      </c>
      <c r="K1325" s="1" t="s">
        <v>14</v>
      </c>
      <c r="L1325" s="1" t="s">
        <v>12</v>
      </c>
      <c r="M1325" s="1" t="s">
        <v>12</v>
      </c>
      <c r="N1325" s="1">
        <v>27.12</v>
      </c>
      <c r="O1325" s="1" t="s">
        <v>20</v>
      </c>
      <c r="P1325" s="1">
        <v>9</v>
      </c>
      <c r="Q1325" s="1" t="s">
        <v>16</v>
      </c>
      <c r="R1325" s="1" t="str">
        <f>IF(N1325="","",VLOOKUP(N1325,Prior_levels,2,TRUE))</f>
        <v>M</v>
      </c>
    </row>
    <row r="1326" spans="1:18" x14ac:dyDescent="0.2">
      <c r="A1326" s="1" t="s">
        <v>152</v>
      </c>
      <c r="B1326" s="1" t="s">
        <v>12</v>
      </c>
      <c r="C1326" s="2">
        <v>41155</v>
      </c>
      <c r="D1326" s="1">
        <v>10</v>
      </c>
      <c r="E1326" s="1" t="s">
        <v>34</v>
      </c>
      <c r="I1326" s="1" t="s">
        <v>12</v>
      </c>
      <c r="J1326" s="1" t="s">
        <v>40</v>
      </c>
      <c r="K1326" s="1" t="s">
        <v>14</v>
      </c>
      <c r="L1326" s="1" t="s">
        <v>12</v>
      </c>
      <c r="M1326" s="1" t="s">
        <v>12</v>
      </c>
      <c r="N1326" s="1">
        <v>27.12</v>
      </c>
      <c r="O1326" s="1" t="s">
        <v>21</v>
      </c>
      <c r="P1326" s="1">
        <v>10</v>
      </c>
      <c r="Q1326" s="1" t="s">
        <v>16</v>
      </c>
      <c r="R1326" s="1" t="str">
        <f>IF(N1326="","",VLOOKUP(N1326,Prior_levels,2,TRUE))</f>
        <v>M</v>
      </c>
    </row>
    <row r="1327" spans="1:18" x14ac:dyDescent="0.2">
      <c r="A1327" s="1" t="s">
        <v>152</v>
      </c>
      <c r="B1327" s="1" t="s">
        <v>12</v>
      </c>
      <c r="C1327" s="2">
        <v>41155</v>
      </c>
      <c r="D1327" s="1">
        <v>10</v>
      </c>
      <c r="E1327" s="1" t="s">
        <v>34</v>
      </c>
      <c r="I1327" s="1" t="s">
        <v>12</v>
      </c>
      <c r="J1327" s="1" t="s">
        <v>40</v>
      </c>
      <c r="K1327" s="1" t="s">
        <v>14</v>
      </c>
      <c r="L1327" s="1" t="s">
        <v>12</v>
      </c>
      <c r="M1327" s="1" t="s">
        <v>12</v>
      </c>
      <c r="N1327" s="1">
        <v>27.12</v>
      </c>
      <c r="O1327" s="1" t="s">
        <v>22</v>
      </c>
      <c r="P1327" s="1">
        <v>-1.05</v>
      </c>
      <c r="Q1327" s="1" t="s">
        <v>16</v>
      </c>
      <c r="R1327" s="1" t="str">
        <f>IF(N1327="","",VLOOKUP(N1327,Prior_levels,2,TRUE))</f>
        <v>M</v>
      </c>
    </row>
    <row r="1328" spans="1:18" x14ac:dyDescent="0.2">
      <c r="A1328" s="1" t="s">
        <v>152</v>
      </c>
      <c r="B1328" s="1" t="s">
        <v>12</v>
      </c>
      <c r="C1328" s="2">
        <v>41155</v>
      </c>
      <c r="D1328" s="1">
        <v>10</v>
      </c>
      <c r="E1328" s="1" t="s">
        <v>34</v>
      </c>
      <c r="I1328" s="1" t="s">
        <v>12</v>
      </c>
      <c r="J1328" s="1" t="s">
        <v>40</v>
      </c>
      <c r="K1328" s="1" t="s">
        <v>14</v>
      </c>
      <c r="L1328" s="1" t="s">
        <v>12</v>
      </c>
      <c r="M1328" s="1" t="s">
        <v>12</v>
      </c>
      <c r="N1328" s="1">
        <v>27.12</v>
      </c>
      <c r="O1328" s="1" t="s">
        <v>23</v>
      </c>
      <c r="P1328" s="1">
        <v>-0.64</v>
      </c>
      <c r="Q1328" s="1" t="s">
        <v>16</v>
      </c>
      <c r="R1328" s="1" t="str">
        <f>IF(N1328="","",VLOOKUP(N1328,Prior_levels,2,TRUE))</f>
        <v>M</v>
      </c>
    </row>
    <row r="1329" spans="1:18" x14ac:dyDescent="0.2">
      <c r="A1329" s="1" t="s">
        <v>152</v>
      </c>
      <c r="B1329" s="1" t="s">
        <v>12</v>
      </c>
      <c r="C1329" s="2">
        <v>41155</v>
      </c>
      <c r="D1329" s="1">
        <v>10</v>
      </c>
      <c r="E1329" s="1" t="s">
        <v>34</v>
      </c>
      <c r="I1329" s="1" t="s">
        <v>12</v>
      </c>
      <c r="J1329" s="1" t="s">
        <v>40</v>
      </c>
      <c r="K1329" s="1" t="s">
        <v>14</v>
      </c>
      <c r="L1329" s="1" t="s">
        <v>12</v>
      </c>
      <c r="M1329" s="1" t="s">
        <v>12</v>
      </c>
      <c r="N1329" s="1">
        <v>27.12</v>
      </c>
      <c r="O1329" s="1" t="s">
        <v>24</v>
      </c>
      <c r="P1329" s="1">
        <v>-2.25</v>
      </c>
      <c r="Q1329" s="1" t="s">
        <v>16</v>
      </c>
      <c r="R1329" s="1" t="str">
        <f>IF(N1329="","",VLOOKUP(N1329,Prior_levels,2,TRUE))</f>
        <v>M</v>
      </c>
    </row>
    <row r="1330" spans="1:18" x14ac:dyDescent="0.2">
      <c r="A1330" s="1" t="s">
        <v>152</v>
      </c>
      <c r="B1330" s="1" t="s">
        <v>12</v>
      </c>
      <c r="C1330" s="2">
        <v>41155</v>
      </c>
      <c r="D1330" s="1">
        <v>10</v>
      </c>
      <c r="E1330" s="1" t="s">
        <v>34</v>
      </c>
      <c r="I1330" s="1" t="s">
        <v>12</v>
      </c>
      <c r="J1330" s="1" t="s">
        <v>40</v>
      </c>
      <c r="K1330" s="1" t="s">
        <v>14</v>
      </c>
      <c r="L1330" s="1" t="s">
        <v>12</v>
      </c>
      <c r="M1330" s="1" t="s">
        <v>12</v>
      </c>
      <c r="N1330" s="1">
        <v>27.12</v>
      </c>
      <c r="O1330" s="1" t="s">
        <v>25</v>
      </c>
      <c r="P1330" s="1">
        <v>-4.8899999999999997</v>
      </c>
      <c r="Q1330" s="1" t="s">
        <v>16</v>
      </c>
      <c r="R1330" s="1" t="str">
        <f>IF(N1330="","",VLOOKUP(N1330,Prior_levels,2,TRUE))</f>
        <v>M</v>
      </c>
    </row>
    <row r="1331" spans="1:18" x14ac:dyDescent="0.2">
      <c r="A1331" s="1" t="s">
        <v>152</v>
      </c>
      <c r="B1331" s="1" t="s">
        <v>12</v>
      </c>
      <c r="C1331" s="2">
        <v>41155</v>
      </c>
      <c r="D1331" s="1">
        <v>10</v>
      </c>
      <c r="E1331" s="1" t="s">
        <v>34</v>
      </c>
      <c r="I1331" s="1" t="s">
        <v>12</v>
      </c>
      <c r="J1331" s="1" t="s">
        <v>40</v>
      </c>
      <c r="K1331" s="1" t="s">
        <v>14</v>
      </c>
      <c r="L1331" s="1" t="s">
        <v>12</v>
      </c>
      <c r="M1331" s="1" t="s">
        <v>12</v>
      </c>
      <c r="N1331" s="1">
        <v>27.12</v>
      </c>
      <c r="O1331" s="1" t="s">
        <v>26</v>
      </c>
      <c r="P1331" s="1">
        <v>0</v>
      </c>
      <c r="Q1331" s="1" t="s">
        <v>16</v>
      </c>
      <c r="R1331" s="1" t="str">
        <f>IF(N1331="","",VLOOKUP(N1331,Prior_levels,2,TRUE))</f>
        <v>M</v>
      </c>
    </row>
    <row r="1332" spans="1:18" x14ac:dyDescent="0.2">
      <c r="A1332" s="1" t="s">
        <v>152</v>
      </c>
      <c r="B1332" s="1" t="s">
        <v>12</v>
      </c>
      <c r="C1332" s="2">
        <v>41155</v>
      </c>
      <c r="D1332" s="1">
        <v>10</v>
      </c>
      <c r="E1332" s="1" t="s">
        <v>34</v>
      </c>
      <c r="I1332" s="1" t="s">
        <v>12</v>
      </c>
      <c r="J1332" s="1" t="s">
        <v>40</v>
      </c>
      <c r="K1332" s="1" t="s">
        <v>14</v>
      </c>
      <c r="L1332" s="1" t="s">
        <v>12</v>
      </c>
      <c r="M1332" s="1" t="s">
        <v>12</v>
      </c>
      <c r="N1332" s="1">
        <v>27.12</v>
      </c>
      <c r="O1332" s="1" t="s">
        <v>27</v>
      </c>
      <c r="P1332" s="1" t="s">
        <v>28</v>
      </c>
      <c r="Q1332" s="1" t="s">
        <v>16</v>
      </c>
      <c r="R1332" s="1" t="str">
        <f>IF(N1332="","",VLOOKUP(N1332,Prior_levels,2,TRUE))</f>
        <v>M</v>
      </c>
    </row>
    <row r="1333" spans="1:18" x14ac:dyDescent="0.2">
      <c r="A1333" s="1" t="s">
        <v>152</v>
      </c>
      <c r="B1333" s="1" t="s">
        <v>12</v>
      </c>
      <c r="C1333" s="2">
        <v>41155</v>
      </c>
      <c r="D1333" s="1">
        <v>10</v>
      </c>
      <c r="E1333" s="1" t="s">
        <v>34</v>
      </c>
      <c r="I1333" s="1" t="s">
        <v>12</v>
      </c>
      <c r="J1333" s="1" t="s">
        <v>40</v>
      </c>
      <c r="K1333" s="1" t="s">
        <v>14</v>
      </c>
      <c r="L1333" s="1" t="s">
        <v>12</v>
      </c>
      <c r="M1333" s="1" t="s">
        <v>12</v>
      </c>
      <c r="N1333" s="1">
        <v>27.12</v>
      </c>
      <c r="O1333" s="1" t="s">
        <v>29</v>
      </c>
      <c r="P1333" s="1" t="s">
        <v>28</v>
      </c>
      <c r="Q1333" s="1" t="s">
        <v>16</v>
      </c>
      <c r="R1333" s="1" t="str">
        <f>IF(N1333="","",VLOOKUP(N1333,Prior_levels,2,TRUE))</f>
        <v>M</v>
      </c>
    </row>
    <row r="1334" spans="1:18" x14ac:dyDescent="0.2">
      <c r="A1334" s="1" t="s">
        <v>152</v>
      </c>
      <c r="B1334" s="1" t="s">
        <v>12</v>
      </c>
      <c r="C1334" s="2">
        <v>41155</v>
      </c>
      <c r="D1334" s="1">
        <v>10</v>
      </c>
      <c r="E1334" s="1" t="s">
        <v>34</v>
      </c>
      <c r="I1334" s="1" t="s">
        <v>12</v>
      </c>
      <c r="J1334" s="1" t="s">
        <v>40</v>
      </c>
      <c r="K1334" s="1" t="s">
        <v>14</v>
      </c>
      <c r="L1334" s="1" t="s">
        <v>12</v>
      </c>
      <c r="M1334" s="1" t="s">
        <v>12</v>
      </c>
      <c r="N1334" s="1">
        <v>27.12</v>
      </c>
      <c r="O1334" s="1" t="s">
        <v>30</v>
      </c>
      <c r="P1334" s="1" t="s">
        <v>28</v>
      </c>
      <c r="Q1334" s="1" t="s">
        <v>16</v>
      </c>
      <c r="R1334" s="1" t="str">
        <f>IF(N1334="","",VLOOKUP(N1334,Prior_levels,2,TRUE))</f>
        <v>M</v>
      </c>
    </row>
    <row r="1335" spans="1:18" x14ac:dyDescent="0.2">
      <c r="A1335" s="1" t="s">
        <v>152</v>
      </c>
      <c r="B1335" s="1" t="s">
        <v>12</v>
      </c>
      <c r="C1335" s="2">
        <v>41155</v>
      </c>
      <c r="D1335" s="1">
        <v>10</v>
      </c>
      <c r="E1335" s="1" t="s">
        <v>34</v>
      </c>
      <c r="I1335" s="1" t="s">
        <v>12</v>
      </c>
      <c r="J1335" s="1" t="s">
        <v>40</v>
      </c>
      <c r="K1335" s="1" t="s">
        <v>14</v>
      </c>
      <c r="L1335" s="1" t="s">
        <v>12</v>
      </c>
      <c r="M1335" s="1" t="s">
        <v>12</v>
      </c>
      <c r="N1335" s="1">
        <v>27.12</v>
      </c>
      <c r="O1335" s="1" t="s">
        <v>31</v>
      </c>
      <c r="P1335" s="1" t="s">
        <v>28</v>
      </c>
      <c r="Q1335" s="1" t="s">
        <v>16</v>
      </c>
      <c r="R1335" s="1" t="str">
        <f>IF(N1335="","",VLOOKUP(N1335,Prior_levels,2,TRUE))</f>
        <v>M</v>
      </c>
    </row>
    <row r="1336" spans="1:18" x14ac:dyDescent="0.2">
      <c r="A1336" s="1" t="s">
        <v>152</v>
      </c>
      <c r="B1336" s="1" t="s">
        <v>12</v>
      </c>
      <c r="C1336" s="2">
        <v>41155</v>
      </c>
      <c r="D1336" s="1">
        <v>10</v>
      </c>
      <c r="E1336" s="1" t="s">
        <v>34</v>
      </c>
      <c r="I1336" s="1" t="s">
        <v>12</v>
      </c>
      <c r="J1336" s="1" t="s">
        <v>40</v>
      </c>
      <c r="K1336" s="1" t="s">
        <v>14</v>
      </c>
      <c r="L1336" s="1" t="s">
        <v>12</v>
      </c>
      <c r="M1336" s="1" t="s">
        <v>12</v>
      </c>
      <c r="N1336" s="1">
        <v>27.12</v>
      </c>
      <c r="O1336" s="1" t="s">
        <v>32</v>
      </c>
      <c r="P1336" s="1" t="s">
        <v>28</v>
      </c>
      <c r="Q1336" s="1" t="s">
        <v>16</v>
      </c>
      <c r="R1336" s="1" t="str">
        <f>IF(N1336="","",VLOOKUP(N1336,Prior_levels,2,TRUE))</f>
        <v>M</v>
      </c>
    </row>
    <row r="1337" spans="1:18" x14ac:dyDescent="0.2">
      <c r="A1337" s="1" t="s">
        <v>153</v>
      </c>
      <c r="B1337" s="1" t="s">
        <v>12</v>
      </c>
      <c r="C1337" s="2">
        <v>41155</v>
      </c>
      <c r="D1337" s="1">
        <v>10</v>
      </c>
      <c r="E1337" s="1" t="s">
        <v>47</v>
      </c>
      <c r="H1337" s="1" t="s">
        <v>54</v>
      </c>
      <c r="I1337" s="1" t="s">
        <v>12</v>
      </c>
      <c r="J1337" s="1" t="s">
        <v>43</v>
      </c>
      <c r="K1337" s="1" t="s">
        <v>139</v>
      </c>
      <c r="L1337" s="1" t="s">
        <v>35</v>
      </c>
      <c r="M1337" s="1" t="s">
        <v>35</v>
      </c>
      <c r="N1337" s="1">
        <v>27.12</v>
      </c>
      <c r="O1337" s="1" t="s">
        <v>15</v>
      </c>
      <c r="P1337" s="1">
        <v>4.4000000000000004</v>
      </c>
      <c r="Q1337" s="1" t="s">
        <v>16</v>
      </c>
      <c r="R1337" s="1" t="str">
        <f>IF(N1337="","",VLOOKUP(N1337,Prior_levels,2,TRUE))</f>
        <v>M</v>
      </c>
    </row>
    <row r="1338" spans="1:18" x14ac:dyDescent="0.2">
      <c r="A1338" s="1" t="s">
        <v>153</v>
      </c>
      <c r="B1338" s="1" t="s">
        <v>12</v>
      </c>
      <c r="C1338" s="2">
        <v>41155</v>
      </c>
      <c r="D1338" s="1">
        <v>10</v>
      </c>
      <c r="E1338" s="1" t="s">
        <v>47</v>
      </c>
      <c r="H1338" s="1" t="s">
        <v>54</v>
      </c>
      <c r="I1338" s="1" t="s">
        <v>12</v>
      </c>
      <c r="J1338" s="1" t="s">
        <v>43</v>
      </c>
      <c r="K1338" s="1" t="s">
        <v>139</v>
      </c>
      <c r="L1338" s="1" t="s">
        <v>35</v>
      </c>
      <c r="M1338" s="1" t="s">
        <v>35</v>
      </c>
      <c r="N1338" s="1">
        <v>27.12</v>
      </c>
      <c r="O1338" s="1" t="s">
        <v>17</v>
      </c>
      <c r="P1338" s="1">
        <v>-0.15</v>
      </c>
      <c r="Q1338" s="1" t="s">
        <v>16</v>
      </c>
      <c r="R1338" s="1" t="str">
        <f>IF(N1338="","",VLOOKUP(N1338,Prior_levels,2,TRUE))</f>
        <v>M</v>
      </c>
    </row>
    <row r="1339" spans="1:18" x14ac:dyDescent="0.2">
      <c r="A1339" s="1" t="s">
        <v>153</v>
      </c>
      <c r="B1339" s="1" t="s">
        <v>12</v>
      </c>
      <c r="C1339" s="2">
        <v>41155</v>
      </c>
      <c r="D1339" s="1">
        <v>10</v>
      </c>
      <c r="E1339" s="1" t="s">
        <v>47</v>
      </c>
      <c r="H1339" s="1" t="s">
        <v>54</v>
      </c>
      <c r="I1339" s="1" t="s">
        <v>12</v>
      </c>
      <c r="J1339" s="1" t="s">
        <v>43</v>
      </c>
      <c r="K1339" s="1" t="s">
        <v>139</v>
      </c>
      <c r="L1339" s="1" t="s">
        <v>35</v>
      </c>
      <c r="M1339" s="1" t="s">
        <v>35</v>
      </c>
      <c r="N1339" s="1">
        <v>27.12</v>
      </c>
      <c r="O1339" s="1" t="s">
        <v>18</v>
      </c>
      <c r="P1339" s="1">
        <v>8</v>
      </c>
      <c r="Q1339" s="1" t="s">
        <v>16</v>
      </c>
      <c r="R1339" s="1" t="str">
        <f>IF(N1339="","",VLOOKUP(N1339,Prior_levels,2,TRUE))</f>
        <v>M</v>
      </c>
    </row>
    <row r="1340" spans="1:18" x14ac:dyDescent="0.2">
      <c r="A1340" s="1" t="s">
        <v>153</v>
      </c>
      <c r="B1340" s="1" t="s">
        <v>12</v>
      </c>
      <c r="C1340" s="2">
        <v>41155</v>
      </c>
      <c r="D1340" s="1">
        <v>10</v>
      </c>
      <c r="E1340" s="1" t="s">
        <v>47</v>
      </c>
      <c r="H1340" s="1" t="s">
        <v>54</v>
      </c>
      <c r="I1340" s="1" t="s">
        <v>12</v>
      </c>
      <c r="J1340" s="1" t="s">
        <v>43</v>
      </c>
      <c r="K1340" s="1" t="s">
        <v>139</v>
      </c>
      <c r="L1340" s="1" t="s">
        <v>35</v>
      </c>
      <c r="M1340" s="1" t="s">
        <v>35</v>
      </c>
      <c r="N1340" s="1">
        <v>27.12</v>
      </c>
      <c r="O1340" s="1" t="s">
        <v>19</v>
      </c>
      <c r="P1340" s="1">
        <v>12</v>
      </c>
      <c r="Q1340" s="1" t="s">
        <v>16</v>
      </c>
      <c r="R1340" s="1" t="str">
        <f>IF(N1340="","",VLOOKUP(N1340,Prior_levels,2,TRUE))</f>
        <v>M</v>
      </c>
    </row>
    <row r="1341" spans="1:18" x14ac:dyDescent="0.2">
      <c r="A1341" s="1" t="s">
        <v>153</v>
      </c>
      <c r="B1341" s="1" t="s">
        <v>12</v>
      </c>
      <c r="C1341" s="2">
        <v>41155</v>
      </c>
      <c r="D1341" s="1">
        <v>10</v>
      </c>
      <c r="E1341" s="1" t="s">
        <v>47</v>
      </c>
      <c r="H1341" s="1" t="s">
        <v>54</v>
      </c>
      <c r="I1341" s="1" t="s">
        <v>12</v>
      </c>
      <c r="J1341" s="1" t="s">
        <v>43</v>
      </c>
      <c r="K1341" s="1" t="s">
        <v>139</v>
      </c>
      <c r="L1341" s="1" t="s">
        <v>35</v>
      </c>
      <c r="M1341" s="1" t="s">
        <v>35</v>
      </c>
      <c r="N1341" s="1">
        <v>27.12</v>
      </c>
      <c r="O1341" s="1" t="s">
        <v>20</v>
      </c>
      <c r="P1341" s="1">
        <v>14</v>
      </c>
      <c r="Q1341" s="1" t="s">
        <v>16</v>
      </c>
      <c r="R1341" s="1" t="str">
        <f>IF(N1341="","",VLOOKUP(N1341,Prior_levels,2,TRUE))</f>
        <v>M</v>
      </c>
    </row>
    <row r="1342" spans="1:18" x14ac:dyDescent="0.2">
      <c r="A1342" s="1" t="s">
        <v>153</v>
      </c>
      <c r="B1342" s="1" t="s">
        <v>12</v>
      </c>
      <c r="C1342" s="2">
        <v>41155</v>
      </c>
      <c r="D1342" s="1">
        <v>10</v>
      </c>
      <c r="E1342" s="1" t="s">
        <v>47</v>
      </c>
      <c r="H1342" s="1" t="s">
        <v>54</v>
      </c>
      <c r="I1342" s="1" t="s">
        <v>12</v>
      </c>
      <c r="J1342" s="1" t="s">
        <v>43</v>
      </c>
      <c r="K1342" s="1" t="s">
        <v>139</v>
      </c>
      <c r="L1342" s="1" t="s">
        <v>35</v>
      </c>
      <c r="M1342" s="1" t="s">
        <v>35</v>
      </c>
      <c r="N1342" s="1">
        <v>27.12</v>
      </c>
      <c r="O1342" s="1" t="s">
        <v>21</v>
      </c>
      <c r="P1342" s="1">
        <v>10</v>
      </c>
      <c r="Q1342" s="1" t="s">
        <v>16</v>
      </c>
      <c r="R1342" s="1" t="str">
        <f>IF(N1342="","",VLOOKUP(N1342,Prior_levels,2,TRUE))</f>
        <v>M</v>
      </c>
    </row>
    <row r="1343" spans="1:18" x14ac:dyDescent="0.2">
      <c r="A1343" s="1" t="s">
        <v>153</v>
      </c>
      <c r="B1343" s="1" t="s">
        <v>12</v>
      </c>
      <c r="C1343" s="2">
        <v>41155</v>
      </c>
      <c r="D1343" s="1">
        <v>10</v>
      </c>
      <c r="E1343" s="1" t="s">
        <v>47</v>
      </c>
      <c r="H1343" s="1" t="s">
        <v>54</v>
      </c>
      <c r="I1343" s="1" t="s">
        <v>12</v>
      </c>
      <c r="J1343" s="1" t="s">
        <v>43</v>
      </c>
      <c r="K1343" s="1" t="s">
        <v>139</v>
      </c>
      <c r="L1343" s="1" t="s">
        <v>35</v>
      </c>
      <c r="M1343" s="1" t="s">
        <v>35</v>
      </c>
      <c r="N1343" s="1">
        <v>27.12</v>
      </c>
      <c r="O1343" s="1" t="s">
        <v>22</v>
      </c>
      <c r="P1343" s="1">
        <v>-1.05</v>
      </c>
      <c r="Q1343" s="1" t="s">
        <v>16</v>
      </c>
      <c r="R1343" s="1" t="str">
        <f>IF(N1343="","",VLOOKUP(N1343,Prior_levels,2,TRUE))</f>
        <v>M</v>
      </c>
    </row>
    <row r="1344" spans="1:18" x14ac:dyDescent="0.2">
      <c r="A1344" s="1" t="s">
        <v>153</v>
      </c>
      <c r="B1344" s="1" t="s">
        <v>12</v>
      </c>
      <c r="C1344" s="2">
        <v>41155</v>
      </c>
      <c r="D1344" s="1">
        <v>10</v>
      </c>
      <c r="E1344" s="1" t="s">
        <v>47</v>
      </c>
      <c r="H1344" s="1" t="s">
        <v>54</v>
      </c>
      <c r="I1344" s="1" t="s">
        <v>12</v>
      </c>
      <c r="J1344" s="1" t="s">
        <v>43</v>
      </c>
      <c r="K1344" s="1" t="s">
        <v>139</v>
      </c>
      <c r="L1344" s="1" t="s">
        <v>35</v>
      </c>
      <c r="M1344" s="1" t="s">
        <v>35</v>
      </c>
      <c r="N1344" s="1">
        <v>27.12</v>
      </c>
      <c r="O1344" s="1" t="s">
        <v>23</v>
      </c>
      <c r="P1344" s="1">
        <v>1.36</v>
      </c>
      <c r="Q1344" s="1" t="s">
        <v>16</v>
      </c>
      <c r="R1344" s="1" t="str">
        <f>IF(N1344="","",VLOOKUP(N1344,Prior_levels,2,TRUE))</f>
        <v>M</v>
      </c>
    </row>
    <row r="1345" spans="1:18" x14ac:dyDescent="0.2">
      <c r="A1345" s="1" t="s">
        <v>153</v>
      </c>
      <c r="B1345" s="1" t="s">
        <v>12</v>
      </c>
      <c r="C1345" s="2">
        <v>41155</v>
      </c>
      <c r="D1345" s="1">
        <v>10</v>
      </c>
      <c r="E1345" s="1" t="s">
        <v>47</v>
      </c>
      <c r="H1345" s="1" t="s">
        <v>54</v>
      </c>
      <c r="I1345" s="1" t="s">
        <v>12</v>
      </c>
      <c r="J1345" s="1" t="s">
        <v>43</v>
      </c>
      <c r="K1345" s="1" t="s">
        <v>139</v>
      </c>
      <c r="L1345" s="1" t="s">
        <v>35</v>
      </c>
      <c r="M1345" s="1" t="s">
        <v>35</v>
      </c>
      <c r="N1345" s="1">
        <v>27.12</v>
      </c>
      <c r="O1345" s="1" t="s">
        <v>24</v>
      </c>
      <c r="P1345" s="1">
        <v>2.75</v>
      </c>
      <c r="Q1345" s="1" t="s">
        <v>16</v>
      </c>
      <c r="R1345" s="1" t="str">
        <f>IF(N1345="","",VLOOKUP(N1345,Prior_levels,2,TRUE))</f>
        <v>M</v>
      </c>
    </row>
    <row r="1346" spans="1:18" x14ac:dyDescent="0.2">
      <c r="A1346" s="1" t="s">
        <v>153</v>
      </c>
      <c r="B1346" s="1" t="s">
        <v>12</v>
      </c>
      <c r="C1346" s="2">
        <v>41155</v>
      </c>
      <c r="D1346" s="1">
        <v>10</v>
      </c>
      <c r="E1346" s="1" t="s">
        <v>47</v>
      </c>
      <c r="H1346" s="1" t="s">
        <v>54</v>
      </c>
      <c r="I1346" s="1" t="s">
        <v>12</v>
      </c>
      <c r="J1346" s="1" t="s">
        <v>43</v>
      </c>
      <c r="K1346" s="1" t="s">
        <v>139</v>
      </c>
      <c r="L1346" s="1" t="s">
        <v>35</v>
      </c>
      <c r="M1346" s="1" t="s">
        <v>35</v>
      </c>
      <c r="N1346" s="1">
        <v>27.12</v>
      </c>
      <c r="O1346" s="1" t="s">
        <v>25</v>
      </c>
      <c r="P1346" s="1">
        <v>-4.8899999999999997</v>
      </c>
      <c r="Q1346" s="1" t="s">
        <v>16</v>
      </c>
      <c r="R1346" s="1" t="str">
        <f>IF(N1346="","",VLOOKUP(N1346,Prior_levels,2,TRUE))</f>
        <v>M</v>
      </c>
    </row>
    <row r="1347" spans="1:18" x14ac:dyDescent="0.2">
      <c r="A1347" s="1" t="s">
        <v>153</v>
      </c>
      <c r="B1347" s="1" t="s">
        <v>12</v>
      </c>
      <c r="C1347" s="2">
        <v>41155</v>
      </c>
      <c r="D1347" s="1">
        <v>10</v>
      </c>
      <c r="E1347" s="1" t="s">
        <v>47</v>
      </c>
      <c r="H1347" s="1" t="s">
        <v>54</v>
      </c>
      <c r="I1347" s="1" t="s">
        <v>12</v>
      </c>
      <c r="J1347" s="1" t="s">
        <v>43</v>
      </c>
      <c r="K1347" s="1" t="s">
        <v>139</v>
      </c>
      <c r="L1347" s="1" t="s">
        <v>35</v>
      </c>
      <c r="M1347" s="1" t="s">
        <v>35</v>
      </c>
      <c r="N1347" s="1">
        <v>27.12</v>
      </c>
      <c r="O1347" s="1" t="s">
        <v>26</v>
      </c>
      <c r="P1347" s="1">
        <v>3</v>
      </c>
      <c r="Q1347" s="1" t="s">
        <v>16</v>
      </c>
      <c r="R1347" s="1" t="str">
        <f>IF(N1347="","",VLOOKUP(N1347,Prior_levels,2,TRUE))</f>
        <v>M</v>
      </c>
    </row>
    <row r="1348" spans="1:18" x14ac:dyDescent="0.2">
      <c r="A1348" s="1" t="s">
        <v>153</v>
      </c>
      <c r="B1348" s="1" t="s">
        <v>12</v>
      </c>
      <c r="C1348" s="2">
        <v>41155</v>
      </c>
      <c r="D1348" s="1">
        <v>10</v>
      </c>
      <c r="E1348" s="1" t="s">
        <v>47</v>
      </c>
      <c r="H1348" s="1" t="s">
        <v>54</v>
      </c>
      <c r="I1348" s="1" t="s">
        <v>12</v>
      </c>
      <c r="J1348" s="1" t="s">
        <v>43</v>
      </c>
      <c r="K1348" s="1" t="s">
        <v>139</v>
      </c>
      <c r="L1348" s="1" t="s">
        <v>35</v>
      </c>
      <c r="M1348" s="1" t="s">
        <v>35</v>
      </c>
      <c r="N1348" s="1">
        <v>27.12</v>
      </c>
      <c r="O1348" s="1" t="s">
        <v>32</v>
      </c>
      <c r="P1348" s="1" t="s">
        <v>28</v>
      </c>
      <c r="Q1348" s="1" t="s">
        <v>16</v>
      </c>
      <c r="R1348" s="1" t="str">
        <f>IF(N1348="","",VLOOKUP(N1348,Prior_levels,2,TRUE))</f>
        <v>M</v>
      </c>
    </row>
    <row r="1349" spans="1:18" x14ac:dyDescent="0.2">
      <c r="A1349" s="1" t="s">
        <v>153</v>
      </c>
      <c r="B1349" s="1" t="s">
        <v>12</v>
      </c>
      <c r="C1349" s="2">
        <v>41155</v>
      </c>
      <c r="D1349" s="1">
        <v>10</v>
      </c>
      <c r="E1349" s="1" t="s">
        <v>47</v>
      </c>
      <c r="H1349" s="1" t="s">
        <v>54</v>
      </c>
      <c r="I1349" s="1" t="s">
        <v>12</v>
      </c>
      <c r="J1349" s="1" t="s">
        <v>43</v>
      </c>
      <c r="K1349" s="1" t="s">
        <v>139</v>
      </c>
      <c r="L1349" s="1" t="s">
        <v>35</v>
      </c>
      <c r="M1349" s="1" t="s">
        <v>35</v>
      </c>
      <c r="N1349" s="1">
        <v>27.12</v>
      </c>
      <c r="O1349" s="1" t="s">
        <v>27</v>
      </c>
      <c r="P1349" s="1" t="s">
        <v>37</v>
      </c>
      <c r="Q1349" s="1" t="s">
        <v>16</v>
      </c>
      <c r="R1349" s="1" t="str">
        <f>IF(N1349="","",VLOOKUP(N1349,Prior_levels,2,TRUE))</f>
        <v>M</v>
      </c>
    </row>
    <row r="1350" spans="1:18" x14ac:dyDescent="0.2">
      <c r="A1350" s="1" t="s">
        <v>153</v>
      </c>
      <c r="B1350" s="1" t="s">
        <v>12</v>
      </c>
      <c r="C1350" s="2">
        <v>41155</v>
      </c>
      <c r="D1350" s="1">
        <v>10</v>
      </c>
      <c r="E1350" s="1" t="s">
        <v>47</v>
      </c>
      <c r="H1350" s="1" t="s">
        <v>54</v>
      </c>
      <c r="I1350" s="1" t="s">
        <v>12</v>
      </c>
      <c r="J1350" s="1" t="s">
        <v>43</v>
      </c>
      <c r="K1350" s="1" t="s">
        <v>139</v>
      </c>
      <c r="L1350" s="1" t="s">
        <v>35</v>
      </c>
      <c r="M1350" s="1" t="s">
        <v>35</v>
      </c>
      <c r="N1350" s="1">
        <v>27.12</v>
      </c>
      <c r="O1350" s="1" t="s">
        <v>29</v>
      </c>
      <c r="P1350" s="1" t="s">
        <v>28</v>
      </c>
      <c r="Q1350" s="1" t="s">
        <v>16</v>
      </c>
      <c r="R1350" s="1" t="str">
        <f>IF(N1350="","",VLOOKUP(N1350,Prior_levels,2,TRUE))</f>
        <v>M</v>
      </c>
    </row>
    <row r="1351" spans="1:18" x14ac:dyDescent="0.2">
      <c r="A1351" s="1" t="s">
        <v>153</v>
      </c>
      <c r="B1351" s="1" t="s">
        <v>12</v>
      </c>
      <c r="C1351" s="2">
        <v>41155</v>
      </c>
      <c r="D1351" s="1">
        <v>10</v>
      </c>
      <c r="E1351" s="1" t="s">
        <v>47</v>
      </c>
      <c r="H1351" s="1" t="s">
        <v>54</v>
      </c>
      <c r="I1351" s="1" t="s">
        <v>12</v>
      </c>
      <c r="J1351" s="1" t="s">
        <v>43</v>
      </c>
      <c r="K1351" s="1" t="s">
        <v>139</v>
      </c>
      <c r="L1351" s="1" t="s">
        <v>35</v>
      </c>
      <c r="M1351" s="1" t="s">
        <v>35</v>
      </c>
      <c r="N1351" s="1">
        <v>27.12</v>
      </c>
      <c r="O1351" s="1" t="s">
        <v>30</v>
      </c>
      <c r="P1351" s="1" t="s">
        <v>28</v>
      </c>
      <c r="Q1351" s="1" t="s">
        <v>16</v>
      </c>
      <c r="R1351" s="1" t="str">
        <f>IF(N1351="","",VLOOKUP(N1351,Prior_levels,2,TRUE))</f>
        <v>M</v>
      </c>
    </row>
    <row r="1352" spans="1:18" x14ac:dyDescent="0.2">
      <c r="A1352" s="1" t="s">
        <v>153</v>
      </c>
      <c r="B1352" s="1" t="s">
        <v>12</v>
      </c>
      <c r="C1352" s="2">
        <v>41155</v>
      </c>
      <c r="D1352" s="1">
        <v>10</v>
      </c>
      <c r="E1352" s="1" t="s">
        <v>47</v>
      </c>
      <c r="H1352" s="1" t="s">
        <v>54</v>
      </c>
      <c r="I1352" s="1" t="s">
        <v>12</v>
      </c>
      <c r="J1352" s="1" t="s">
        <v>43</v>
      </c>
      <c r="K1352" s="1" t="s">
        <v>139</v>
      </c>
      <c r="L1352" s="1" t="s">
        <v>35</v>
      </c>
      <c r="M1352" s="1" t="s">
        <v>35</v>
      </c>
      <c r="N1352" s="1">
        <v>27.12</v>
      </c>
      <c r="O1352" s="1" t="s">
        <v>31</v>
      </c>
      <c r="P1352" s="1" t="s">
        <v>28</v>
      </c>
      <c r="Q1352" s="1" t="s">
        <v>16</v>
      </c>
      <c r="R1352" s="1" t="str">
        <f>IF(N1352="","",VLOOKUP(N1352,Prior_levels,2,TRUE))</f>
        <v>M</v>
      </c>
    </row>
    <row r="1353" spans="1:18" x14ac:dyDescent="0.2">
      <c r="A1353" s="1" t="s">
        <v>154</v>
      </c>
      <c r="B1353" s="1" t="s">
        <v>12</v>
      </c>
      <c r="C1353" s="2">
        <v>41155</v>
      </c>
      <c r="D1353" s="1">
        <v>10</v>
      </c>
      <c r="E1353" s="1" t="s">
        <v>34</v>
      </c>
      <c r="I1353" s="1" t="s">
        <v>12</v>
      </c>
      <c r="J1353" s="1" t="s">
        <v>74</v>
      </c>
      <c r="K1353" s="1" t="s">
        <v>14</v>
      </c>
      <c r="L1353" s="1" t="s">
        <v>12</v>
      </c>
      <c r="M1353" s="1" t="s">
        <v>12</v>
      </c>
      <c r="N1353" s="1">
        <v>27.12</v>
      </c>
      <c r="O1353" s="1" t="s">
        <v>15</v>
      </c>
      <c r="P1353" s="1">
        <v>4.5</v>
      </c>
      <c r="Q1353" s="1" t="s">
        <v>16</v>
      </c>
      <c r="R1353" s="1" t="str">
        <f>IF(N1353="","",VLOOKUP(N1353,Prior_levels,2,TRUE))</f>
        <v>M</v>
      </c>
    </row>
    <row r="1354" spans="1:18" x14ac:dyDescent="0.2">
      <c r="A1354" s="1" t="s">
        <v>154</v>
      </c>
      <c r="B1354" s="1" t="s">
        <v>12</v>
      </c>
      <c r="C1354" s="2">
        <v>41155</v>
      </c>
      <c r="D1354" s="1">
        <v>10</v>
      </c>
      <c r="E1354" s="1" t="s">
        <v>34</v>
      </c>
      <c r="I1354" s="1" t="s">
        <v>12</v>
      </c>
      <c r="J1354" s="1" t="s">
        <v>74</v>
      </c>
      <c r="K1354" s="1" t="s">
        <v>14</v>
      </c>
      <c r="L1354" s="1" t="s">
        <v>12</v>
      </c>
      <c r="M1354" s="1" t="s">
        <v>12</v>
      </c>
      <c r="N1354" s="1">
        <v>27.12</v>
      </c>
      <c r="O1354" s="1" t="s">
        <v>17</v>
      </c>
      <c r="P1354" s="1">
        <v>-0.05</v>
      </c>
      <c r="Q1354" s="1" t="s">
        <v>16</v>
      </c>
      <c r="R1354" s="1" t="str">
        <f>IF(N1354="","",VLOOKUP(N1354,Prior_levels,2,TRUE))</f>
        <v>M</v>
      </c>
    </row>
    <row r="1355" spans="1:18" x14ac:dyDescent="0.2">
      <c r="A1355" s="1" t="s">
        <v>154</v>
      </c>
      <c r="B1355" s="1" t="s">
        <v>12</v>
      </c>
      <c r="C1355" s="2">
        <v>41155</v>
      </c>
      <c r="D1355" s="1">
        <v>10</v>
      </c>
      <c r="E1355" s="1" t="s">
        <v>34</v>
      </c>
      <c r="I1355" s="1" t="s">
        <v>12</v>
      </c>
      <c r="J1355" s="1" t="s">
        <v>74</v>
      </c>
      <c r="K1355" s="1" t="s">
        <v>14</v>
      </c>
      <c r="L1355" s="1" t="s">
        <v>12</v>
      </c>
      <c r="M1355" s="1" t="s">
        <v>12</v>
      </c>
      <c r="N1355" s="1">
        <v>27.12</v>
      </c>
      <c r="O1355" s="1" t="s">
        <v>18</v>
      </c>
      <c r="P1355" s="1">
        <v>10</v>
      </c>
      <c r="Q1355" s="1" t="s">
        <v>16</v>
      </c>
      <c r="R1355" s="1" t="str">
        <f>IF(N1355="","",VLOOKUP(N1355,Prior_levels,2,TRUE))</f>
        <v>M</v>
      </c>
    </row>
    <row r="1356" spans="1:18" x14ac:dyDescent="0.2">
      <c r="A1356" s="1" t="s">
        <v>154</v>
      </c>
      <c r="B1356" s="1" t="s">
        <v>12</v>
      </c>
      <c r="C1356" s="2">
        <v>41155</v>
      </c>
      <c r="D1356" s="1">
        <v>10</v>
      </c>
      <c r="E1356" s="1" t="s">
        <v>34</v>
      </c>
      <c r="I1356" s="1" t="s">
        <v>12</v>
      </c>
      <c r="J1356" s="1" t="s">
        <v>74</v>
      </c>
      <c r="K1356" s="1" t="s">
        <v>14</v>
      </c>
      <c r="L1356" s="1" t="s">
        <v>12</v>
      </c>
      <c r="M1356" s="1" t="s">
        <v>12</v>
      </c>
      <c r="N1356" s="1">
        <v>27.12</v>
      </c>
      <c r="O1356" s="1" t="s">
        <v>19</v>
      </c>
      <c r="P1356" s="1">
        <v>10</v>
      </c>
      <c r="Q1356" s="1" t="s">
        <v>16</v>
      </c>
      <c r="R1356" s="1" t="str">
        <f>IF(N1356="","",VLOOKUP(N1356,Prior_levels,2,TRUE))</f>
        <v>M</v>
      </c>
    </row>
    <row r="1357" spans="1:18" x14ac:dyDescent="0.2">
      <c r="A1357" s="1" t="s">
        <v>154</v>
      </c>
      <c r="B1357" s="1" t="s">
        <v>12</v>
      </c>
      <c r="C1357" s="2">
        <v>41155</v>
      </c>
      <c r="D1357" s="1">
        <v>10</v>
      </c>
      <c r="E1357" s="1" t="s">
        <v>34</v>
      </c>
      <c r="I1357" s="1" t="s">
        <v>12</v>
      </c>
      <c r="J1357" s="1" t="s">
        <v>74</v>
      </c>
      <c r="K1357" s="1" t="s">
        <v>14</v>
      </c>
      <c r="L1357" s="1" t="s">
        <v>12</v>
      </c>
      <c r="M1357" s="1" t="s">
        <v>12</v>
      </c>
      <c r="N1357" s="1">
        <v>27.12</v>
      </c>
      <c r="O1357" s="1" t="s">
        <v>20</v>
      </c>
      <c r="P1357" s="1">
        <v>12</v>
      </c>
      <c r="Q1357" s="1" t="s">
        <v>16</v>
      </c>
      <c r="R1357" s="1" t="str">
        <f>IF(N1357="","",VLOOKUP(N1357,Prior_levels,2,TRUE))</f>
        <v>M</v>
      </c>
    </row>
    <row r="1358" spans="1:18" x14ac:dyDescent="0.2">
      <c r="A1358" s="1" t="s">
        <v>154</v>
      </c>
      <c r="B1358" s="1" t="s">
        <v>12</v>
      </c>
      <c r="C1358" s="2">
        <v>41155</v>
      </c>
      <c r="D1358" s="1">
        <v>10</v>
      </c>
      <c r="E1358" s="1" t="s">
        <v>34</v>
      </c>
      <c r="I1358" s="1" t="s">
        <v>12</v>
      </c>
      <c r="J1358" s="1" t="s">
        <v>74</v>
      </c>
      <c r="K1358" s="1" t="s">
        <v>14</v>
      </c>
      <c r="L1358" s="1" t="s">
        <v>12</v>
      </c>
      <c r="M1358" s="1" t="s">
        <v>12</v>
      </c>
      <c r="N1358" s="1">
        <v>27.12</v>
      </c>
      <c r="O1358" s="1" t="s">
        <v>21</v>
      </c>
      <c r="P1358" s="1">
        <v>13</v>
      </c>
      <c r="Q1358" s="1" t="s">
        <v>16</v>
      </c>
      <c r="R1358" s="1" t="str">
        <f>IF(N1358="","",VLOOKUP(N1358,Prior_levels,2,TRUE))</f>
        <v>M</v>
      </c>
    </row>
    <row r="1359" spans="1:18" x14ac:dyDescent="0.2">
      <c r="A1359" s="1" t="s">
        <v>154</v>
      </c>
      <c r="B1359" s="1" t="s">
        <v>12</v>
      </c>
      <c r="C1359" s="2">
        <v>41155</v>
      </c>
      <c r="D1359" s="1">
        <v>10</v>
      </c>
      <c r="E1359" s="1" t="s">
        <v>34</v>
      </c>
      <c r="I1359" s="1" t="s">
        <v>12</v>
      </c>
      <c r="J1359" s="1" t="s">
        <v>74</v>
      </c>
      <c r="K1359" s="1" t="s">
        <v>14</v>
      </c>
      <c r="L1359" s="1" t="s">
        <v>12</v>
      </c>
      <c r="M1359" s="1" t="s">
        <v>12</v>
      </c>
      <c r="N1359" s="1">
        <v>27.12</v>
      </c>
      <c r="O1359" s="1" t="s">
        <v>22</v>
      </c>
      <c r="P1359" s="1">
        <v>-0.05</v>
      </c>
      <c r="Q1359" s="1" t="s">
        <v>16</v>
      </c>
      <c r="R1359" s="1" t="str">
        <f>IF(N1359="","",VLOOKUP(N1359,Prior_levels,2,TRUE))</f>
        <v>M</v>
      </c>
    </row>
    <row r="1360" spans="1:18" x14ac:dyDescent="0.2">
      <c r="A1360" s="1" t="s">
        <v>154</v>
      </c>
      <c r="B1360" s="1" t="s">
        <v>12</v>
      </c>
      <c r="C1360" s="2">
        <v>41155</v>
      </c>
      <c r="D1360" s="1">
        <v>10</v>
      </c>
      <c r="E1360" s="1" t="s">
        <v>34</v>
      </c>
      <c r="I1360" s="1" t="s">
        <v>12</v>
      </c>
      <c r="J1360" s="1" t="s">
        <v>74</v>
      </c>
      <c r="K1360" s="1" t="s">
        <v>14</v>
      </c>
      <c r="L1360" s="1" t="s">
        <v>12</v>
      </c>
      <c r="M1360" s="1" t="s">
        <v>12</v>
      </c>
      <c r="N1360" s="1">
        <v>27.12</v>
      </c>
      <c r="O1360" s="1" t="s">
        <v>23</v>
      </c>
      <c r="P1360" s="1">
        <v>0.36</v>
      </c>
      <c r="Q1360" s="1" t="s">
        <v>16</v>
      </c>
      <c r="R1360" s="1" t="str">
        <f>IF(N1360="","",VLOOKUP(N1360,Prior_levels,2,TRUE))</f>
        <v>M</v>
      </c>
    </row>
    <row r="1361" spans="1:18" x14ac:dyDescent="0.2">
      <c r="A1361" s="1" t="s">
        <v>154</v>
      </c>
      <c r="B1361" s="1" t="s">
        <v>12</v>
      </c>
      <c r="C1361" s="2">
        <v>41155</v>
      </c>
      <c r="D1361" s="1">
        <v>10</v>
      </c>
      <c r="E1361" s="1" t="s">
        <v>34</v>
      </c>
      <c r="I1361" s="1" t="s">
        <v>12</v>
      </c>
      <c r="J1361" s="1" t="s">
        <v>74</v>
      </c>
      <c r="K1361" s="1" t="s">
        <v>14</v>
      </c>
      <c r="L1361" s="1" t="s">
        <v>12</v>
      </c>
      <c r="M1361" s="1" t="s">
        <v>12</v>
      </c>
      <c r="N1361" s="1">
        <v>27.12</v>
      </c>
      <c r="O1361" s="1" t="s">
        <v>25</v>
      </c>
      <c r="P1361" s="1">
        <v>-1.89</v>
      </c>
      <c r="Q1361" s="1" t="s">
        <v>16</v>
      </c>
      <c r="R1361" s="1" t="str">
        <f>IF(N1361="","",VLOOKUP(N1361,Prior_levels,2,TRUE))</f>
        <v>M</v>
      </c>
    </row>
    <row r="1362" spans="1:18" x14ac:dyDescent="0.2">
      <c r="A1362" s="1" t="s">
        <v>154</v>
      </c>
      <c r="B1362" s="1" t="s">
        <v>12</v>
      </c>
      <c r="C1362" s="2">
        <v>41155</v>
      </c>
      <c r="D1362" s="1">
        <v>10</v>
      </c>
      <c r="E1362" s="1" t="s">
        <v>34</v>
      </c>
      <c r="I1362" s="1" t="s">
        <v>12</v>
      </c>
      <c r="J1362" s="1" t="s">
        <v>74</v>
      </c>
      <c r="K1362" s="1" t="s">
        <v>14</v>
      </c>
      <c r="L1362" s="1" t="s">
        <v>12</v>
      </c>
      <c r="M1362" s="1" t="s">
        <v>12</v>
      </c>
      <c r="N1362" s="1">
        <v>27.12</v>
      </c>
      <c r="O1362" s="1" t="s">
        <v>26</v>
      </c>
      <c r="P1362" s="1">
        <v>10</v>
      </c>
      <c r="Q1362" s="1" t="s">
        <v>16</v>
      </c>
      <c r="R1362" s="1" t="str">
        <f>IF(N1362="","",VLOOKUP(N1362,Prior_levels,2,TRUE))</f>
        <v>M</v>
      </c>
    </row>
    <row r="1363" spans="1:18" x14ac:dyDescent="0.2">
      <c r="A1363" s="1" t="s">
        <v>154</v>
      </c>
      <c r="B1363" s="1" t="s">
        <v>12</v>
      </c>
      <c r="C1363" s="2">
        <v>41155</v>
      </c>
      <c r="D1363" s="1">
        <v>10</v>
      </c>
      <c r="E1363" s="1" t="s">
        <v>34</v>
      </c>
      <c r="I1363" s="1" t="s">
        <v>12</v>
      </c>
      <c r="J1363" s="1" t="s">
        <v>74</v>
      </c>
      <c r="K1363" s="1" t="s">
        <v>14</v>
      </c>
      <c r="L1363" s="1" t="s">
        <v>12</v>
      </c>
      <c r="M1363" s="1" t="s">
        <v>12</v>
      </c>
      <c r="N1363" s="1">
        <v>27.12</v>
      </c>
      <c r="O1363" s="1" t="s">
        <v>24</v>
      </c>
      <c r="P1363" s="1">
        <v>0.75</v>
      </c>
      <c r="Q1363" s="1" t="s">
        <v>16</v>
      </c>
      <c r="R1363" s="1" t="str">
        <f>IF(N1363="","",VLOOKUP(N1363,Prior_levels,2,TRUE))</f>
        <v>M</v>
      </c>
    </row>
    <row r="1364" spans="1:18" x14ac:dyDescent="0.2">
      <c r="A1364" s="1" t="s">
        <v>154</v>
      </c>
      <c r="B1364" s="1" t="s">
        <v>12</v>
      </c>
      <c r="C1364" s="2">
        <v>41155</v>
      </c>
      <c r="D1364" s="1">
        <v>10</v>
      </c>
      <c r="E1364" s="1" t="s">
        <v>34</v>
      </c>
      <c r="I1364" s="1" t="s">
        <v>12</v>
      </c>
      <c r="J1364" s="1" t="s">
        <v>74</v>
      </c>
      <c r="K1364" s="1" t="s">
        <v>14</v>
      </c>
      <c r="L1364" s="1" t="s">
        <v>12</v>
      </c>
      <c r="M1364" s="1" t="s">
        <v>12</v>
      </c>
      <c r="N1364" s="1">
        <v>27.12</v>
      </c>
      <c r="O1364" s="1" t="s">
        <v>32</v>
      </c>
      <c r="P1364" s="1" t="s">
        <v>37</v>
      </c>
      <c r="Q1364" s="1" t="s">
        <v>16</v>
      </c>
      <c r="R1364" s="1" t="str">
        <f>IF(N1364="","",VLOOKUP(N1364,Prior_levels,2,TRUE))</f>
        <v>M</v>
      </c>
    </row>
    <row r="1365" spans="1:18" x14ac:dyDescent="0.2">
      <c r="A1365" s="1" t="s">
        <v>154</v>
      </c>
      <c r="B1365" s="1" t="s">
        <v>12</v>
      </c>
      <c r="C1365" s="2">
        <v>41155</v>
      </c>
      <c r="D1365" s="1">
        <v>10</v>
      </c>
      <c r="E1365" s="1" t="s">
        <v>34</v>
      </c>
      <c r="I1365" s="1" t="s">
        <v>12</v>
      </c>
      <c r="J1365" s="1" t="s">
        <v>74</v>
      </c>
      <c r="K1365" s="1" t="s">
        <v>14</v>
      </c>
      <c r="L1365" s="1" t="s">
        <v>12</v>
      </c>
      <c r="M1365" s="1" t="s">
        <v>12</v>
      </c>
      <c r="N1365" s="1">
        <v>27.12</v>
      </c>
      <c r="O1365" s="1" t="s">
        <v>27</v>
      </c>
      <c r="P1365" s="1" t="s">
        <v>37</v>
      </c>
      <c r="Q1365" s="1" t="s">
        <v>16</v>
      </c>
      <c r="R1365" s="1" t="str">
        <f>IF(N1365="","",VLOOKUP(N1365,Prior_levels,2,TRUE))</f>
        <v>M</v>
      </c>
    </row>
    <row r="1366" spans="1:18" x14ac:dyDescent="0.2">
      <c r="A1366" s="1" t="s">
        <v>154</v>
      </c>
      <c r="B1366" s="1" t="s">
        <v>12</v>
      </c>
      <c r="C1366" s="2">
        <v>41155</v>
      </c>
      <c r="D1366" s="1">
        <v>10</v>
      </c>
      <c r="E1366" s="1" t="s">
        <v>34</v>
      </c>
      <c r="I1366" s="1" t="s">
        <v>12</v>
      </c>
      <c r="J1366" s="1" t="s">
        <v>74</v>
      </c>
      <c r="K1366" s="1" t="s">
        <v>14</v>
      </c>
      <c r="L1366" s="1" t="s">
        <v>12</v>
      </c>
      <c r="M1366" s="1" t="s">
        <v>12</v>
      </c>
      <c r="N1366" s="1">
        <v>27.12</v>
      </c>
      <c r="O1366" s="1" t="s">
        <v>29</v>
      </c>
      <c r="P1366" s="1" t="s">
        <v>37</v>
      </c>
      <c r="Q1366" s="1" t="s">
        <v>16</v>
      </c>
      <c r="R1366" s="1" t="str">
        <f>IF(N1366="","",VLOOKUP(N1366,Prior_levels,2,TRUE))</f>
        <v>M</v>
      </c>
    </row>
    <row r="1367" spans="1:18" x14ac:dyDescent="0.2">
      <c r="A1367" s="1" t="s">
        <v>154</v>
      </c>
      <c r="B1367" s="1" t="s">
        <v>12</v>
      </c>
      <c r="C1367" s="2">
        <v>41155</v>
      </c>
      <c r="D1367" s="1">
        <v>10</v>
      </c>
      <c r="E1367" s="1" t="s">
        <v>34</v>
      </c>
      <c r="I1367" s="1" t="s">
        <v>12</v>
      </c>
      <c r="J1367" s="1" t="s">
        <v>74</v>
      </c>
      <c r="K1367" s="1" t="s">
        <v>14</v>
      </c>
      <c r="L1367" s="1" t="s">
        <v>12</v>
      </c>
      <c r="M1367" s="1" t="s">
        <v>12</v>
      </c>
      <c r="N1367" s="1">
        <v>27.12</v>
      </c>
      <c r="O1367" s="1" t="s">
        <v>30</v>
      </c>
      <c r="P1367" s="1" t="s">
        <v>37</v>
      </c>
      <c r="Q1367" s="1" t="s">
        <v>16</v>
      </c>
      <c r="R1367" s="1" t="str">
        <f>IF(N1367="","",VLOOKUP(N1367,Prior_levels,2,TRUE))</f>
        <v>M</v>
      </c>
    </row>
    <row r="1368" spans="1:18" x14ac:dyDescent="0.2">
      <c r="A1368" s="1" t="s">
        <v>154</v>
      </c>
      <c r="B1368" s="1" t="s">
        <v>12</v>
      </c>
      <c r="C1368" s="2">
        <v>41155</v>
      </c>
      <c r="D1368" s="1">
        <v>10</v>
      </c>
      <c r="E1368" s="1" t="s">
        <v>34</v>
      </c>
      <c r="I1368" s="1" t="s">
        <v>12</v>
      </c>
      <c r="J1368" s="1" t="s">
        <v>74</v>
      </c>
      <c r="K1368" s="1" t="s">
        <v>14</v>
      </c>
      <c r="L1368" s="1" t="s">
        <v>12</v>
      </c>
      <c r="M1368" s="1" t="s">
        <v>12</v>
      </c>
      <c r="N1368" s="1">
        <v>27.12</v>
      </c>
      <c r="O1368" s="1" t="s">
        <v>31</v>
      </c>
      <c r="P1368" s="1" t="s">
        <v>37</v>
      </c>
      <c r="Q1368" s="1" t="s">
        <v>16</v>
      </c>
      <c r="R1368" s="1" t="str">
        <f>IF(N1368="","",VLOOKUP(N1368,Prior_levels,2,TRUE))</f>
        <v>M</v>
      </c>
    </row>
    <row r="1369" spans="1:18" x14ac:dyDescent="0.2">
      <c r="A1369" s="1" t="s">
        <v>155</v>
      </c>
      <c r="B1369" s="1" t="s">
        <v>12</v>
      </c>
      <c r="C1369" s="2">
        <v>41155</v>
      </c>
      <c r="D1369" s="1">
        <v>10</v>
      </c>
      <c r="E1369" s="1" t="s">
        <v>52</v>
      </c>
      <c r="I1369" s="1" t="s">
        <v>12</v>
      </c>
      <c r="J1369" s="1" t="s">
        <v>156</v>
      </c>
      <c r="K1369" s="1" t="s">
        <v>157</v>
      </c>
      <c r="L1369" s="1" t="s">
        <v>12</v>
      </c>
      <c r="M1369" s="1" t="s">
        <v>12</v>
      </c>
      <c r="N1369" s="1">
        <v>21.12</v>
      </c>
      <c r="O1369" s="1" t="s">
        <v>15</v>
      </c>
      <c r="P1369" s="1">
        <v>3.1</v>
      </c>
      <c r="Q1369" s="1" t="s">
        <v>16</v>
      </c>
      <c r="R1369" s="1" t="str">
        <f>IF(N1369="","",VLOOKUP(N1369,Prior_levels,2,TRUE))</f>
        <v>L</v>
      </c>
    </row>
    <row r="1370" spans="1:18" x14ac:dyDescent="0.2">
      <c r="A1370" s="1" t="s">
        <v>155</v>
      </c>
      <c r="B1370" s="1" t="s">
        <v>12</v>
      </c>
      <c r="C1370" s="2">
        <v>41155</v>
      </c>
      <c r="D1370" s="1">
        <v>10</v>
      </c>
      <c r="E1370" s="1" t="s">
        <v>52</v>
      </c>
      <c r="I1370" s="1" t="s">
        <v>12</v>
      </c>
      <c r="J1370" s="1" t="s">
        <v>156</v>
      </c>
      <c r="K1370" s="1" t="s">
        <v>157</v>
      </c>
      <c r="L1370" s="1" t="s">
        <v>12</v>
      </c>
      <c r="M1370" s="1" t="s">
        <v>12</v>
      </c>
      <c r="N1370" s="1">
        <v>21.12</v>
      </c>
      <c r="O1370" s="1" t="s">
        <v>17</v>
      </c>
      <c r="P1370" s="1">
        <v>0.27</v>
      </c>
      <c r="Q1370" s="1" t="s">
        <v>16</v>
      </c>
      <c r="R1370" s="1" t="str">
        <f>IF(N1370="","",VLOOKUP(N1370,Prior_levels,2,TRUE))</f>
        <v>L</v>
      </c>
    </row>
    <row r="1371" spans="1:18" x14ac:dyDescent="0.2">
      <c r="A1371" s="1" t="s">
        <v>155</v>
      </c>
      <c r="B1371" s="1" t="s">
        <v>12</v>
      </c>
      <c r="C1371" s="2">
        <v>41155</v>
      </c>
      <c r="D1371" s="1">
        <v>10</v>
      </c>
      <c r="E1371" s="1" t="s">
        <v>52</v>
      </c>
      <c r="I1371" s="1" t="s">
        <v>12</v>
      </c>
      <c r="J1371" s="1" t="s">
        <v>156</v>
      </c>
      <c r="K1371" s="1" t="s">
        <v>157</v>
      </c>
      <c r="L1371" s="1" t="s">
        <v>12</v>
      </c>
      <c r="M1371" s="1" t="s">
        <v>12</v>
      </c>
      <c r="N1371" s="1">
        <v>21.12</v>
      </c>
      <c r="O1371" s="1" t="s">
        <v>18</v>
      </c>
      <c r="P1371" s="1">
        <v>8</v>
      </c>
      <c r="Q1371" s="1" t="s">
        <v>16</v>
      </c>
      <c r="R1371" s="1" t="str">
        <f>IF(N1371="","",VLOOKUP(N1371,Prior_levels,2,TRUE))</f>
        <v>L</v>
      </c>
    </row>
    <row r="1372" spans="1:18" x14ac:dyDescent="0.2">
      <c r="A1372" s="1" t="s">
        <v>155</v>
      </c>
      <c r="B1372" s="1" t="s">
        <v>12</v>
      </c>
      <c r="C1372" s="2">
        <v>41155</v>
      </c>
      <c r="D1372" s="1">
        <v>10</v>
      </c>
      <c r="E1372" s="1" t="s">
        <v>52</v>
      </c>
      <c r="I1372" s="1" t="s">
        <v>12</v>
      </c>
      <c r="J1372" s="1" t="s">
        <v>156</v>
      </c>
      <c r="K1372" s="1" t="s">
        <v>157</v>
      </c>
      <c r="L1372" s="1" t="s">
        <v>12</v>
      </c>
      <c r="M1372" s="1" t="s">
        <v>12</v>
      </c>
      <c r="N1372" s="1">
        <v>21.12</v>
      </c>
      <c r="O1372" s="1" t="s">
        <v>19</v>
      </c>
      <c r="P1372" s="1">
        <v>6</v>
      </c>
      <c r="Q1372" s="1" t="s">
        <v>16</v>
      </c>
      <c r="R1372" s="1" t="str">
        <f>IF(N1372="","",VLOOKUP(N1372,Prior_levels,2,TRUE))</f>
        <v>L</v>
      </c>
    </row>
    <row r="1373" spans="1:18" x14ac:dyDescent="0.2">
      <c r="A1373" s="1" t="s">
        <v>155</v>
      </c>
      <c r="B1373" s="1" t="s">
        <v>12</v>
      </c>
      <c r="C1373" s="2">
        <v>41155</v>
      </c>
      <c r="D1373" s="1">
        <v>10</v>
      </c>
      <c r="E1373" s="1" t="s">
        <v>52</v>
      </c>
      <c r="I1373" s="1" t="s">
        <v>12</v>
      </c>
      <c r="J1373" s="1" t="s">
        <v>156</v>
      </c>
      <c r="K1373" s="1" t="s">
        <v>157</v>
      </c>
      <c r="L1373" s="1" t="s">
        <v>12</v>
      </c>
      <c r="M1373" s="1" t="s">
        <v>12</v>
      </c>
      <c r="N1373" s="1">
        <v>21.12</v>
      </c>
      <c r="O1373" s="1" t="s">
        <v>20</v>
      </c>
      <c r="P1373" s="1">
        <v>7</v>
      </c>
      <c r="Q1373" s="1" t="s">
        <v>16</v>
      </c>
      <c r="R1373" s="1" t="str">
        <f>IF(N1373="","",VLOOKUP(N1373,Prior_levels,2,TRUE))</f>
        <v>L</v>
      </c>
    </row>
    <row r="1374" spans="1:18" x14ac:dyDescent="0.2">
      <c r="A1374" s="1" t="s">
        <v>155</v>
      </c>
      <c r="B1374" s="1" t="s">
        <v>12</v>
      </c>
      <c r="C1374" s="2">
        <v>41155</v>
      </c>
      <c r="D1374" s="1">
        <v>10</v>
      </c>
      <c r="E1374" s="1" t="s">
        <v>52</v>
      </c>
      <c r="I1374" s="1" t="s">
        <v>12</v>
      </c>
      <c r="J1374" s="1" t="s">
        <v>156</v>
      </c>
      <c r="K1374" s="1" t="s">
        <v>157</v>
      </c>
      <c r="L1374" s="1" t="s">
        <v>12</v>
      </c>
      <c r="M1374" s="1" t="s">
        <v>12</v>
      </c>
      <c r="N1374" s="1">
        <v>21.12</v>
      </c>
      <c r="O1374" s="1" t="s">
        <v>21</v>
      </c>
      <c r="P1374" s="1">
        <v>10</v>
      </c>
      <c r="Q1374" s="1" t="s">
        <v>16</v>
      </c>
      <c r="R1374" s="1" t="str">
        <f>IF(N1374="","",VLOOKUP(N1374,Prior_levels,2,TRUE))</f>
        <v>L</v>
      </c>
    </row>
    <row r="1375" spans="1:18" x14ac:dyDescent="0.2">
      <c r="A1375" s="1" t="s">
        <v>155</v>
      </c>
      <c r="B1375" s="1" t="s">
        <v>12</v>
      </c>
      <c r="C1375" s="2">
        <v>41155</v>
      </c>
      <c r="D1375" s="1">
        <v>10</v>
      </c>
      <c r="E1375" s="1" t="s">
        <v>52</v>
      </c>
      <c r="I1375" s="1" t="s">
        <v>12</v>
      </c>
      <c r="J1375" s="1" t="s">
        <v>156</v>
      </c>
      <c r="K1375" s="1" t="s">
        <v>157</v>
      </c>
      <c r="L1375" s="1" t="s">
        <v>12</v>
      </c>
      <c r="M1375" s="1" t="s">
        <v>12</v>
      </c>
      <c r="N1375" s="1">
        <v>21.12</v>
      </c>
      <c r="O1375" s="1" t="s">
        <v>22</v>
      </c>
      <c r="P1375" s="1">
        <v>0.34</v>
      </c>
      <c r="Q1375" s="1" t="s">
        <v>16</v>
      </c>
      <c r="R1375" s="1" t="str">
        <f>IF(N1375="","",VLOOKUP(N1375,Prior_levels,2,TRUE))</f>
        <v>L</v>
      </c>
    </row>
    <row r="1376" spans="1:18" x14ac:dyDescent="0.2">
      <c r="A1376" s="1" t="s">
        <v>155</v>
      </c>
      <c r="B1376" s="1" t="s">
        <v>12</v>
      </c>
      <c r="C1376" s="2">
        <v>41155</v>
      </c>
      <c r="D1376" s="1">
        <v>10</v>
      </c>
      <c r="E1376" s="1" t="s">
        <v>52</v>
      </c>
      <c r="I1376" s="1" t="s">
        <v>12</v>
      </c>
      <c r="J1376" s="1" t="s">
        <v>156</v>
      </c>
      <c r="K1376" s="1" t="s">
        <v>157</v>
      </c>
      <c r="L1376" s="1" t="s">
        <v>12</v>
      </c>
      <c r="M1376" s="1" t="s">
        <v>12</v>
      </c>
      <c r="N1376" s="1">
        <v>21.12</v>
      </c>
      <c r="O1376" s="1" t="s">
        <v>23</v>
      </c>
      <c r="P1376" s="1">
        <v>0.39</v>
      </c>
      <c r="Q1376" s="1" t="s">
        <v>16</v>
      </c>
      <c r="R1376" s="1" t="str">
        <f>IF(N1376="","",VLOOKUP(N1376,Prior_levels,2,TRUE))</f>
        <v>L</v>
      </c>
    </row>
    <row r="1377" spans="1:18" x14ac:dyDescent="0.2">
      <c r="A1377" s="1" t="s">
        <v>155</v>
      </c>
      <c r="B1377" s="1" t="s">
        <v>12</v>
      </c>
      <c r="C1377" s="2">
        <v>41155</v>
      </c>
      <c r="D1377" s="1">
        <v>10</v>
      </c>
      <c r="E1377" s="1" t="s">
        <v>52</v>
      </c>
      <c r="I1377" s="1" t="s">
        <v>12</v>
      </c>
      <c r="J1377" s="1" t="s">
        <v>156</v>
      </c>
      <c r="K1377" s="1" t="s">
        <v>157</v>
      </c>
      <c r="L1377" s="1" t="s">
        <v>12</v>
      </c>
      <c r="M1377" s="1" t="s">
        <v>12</v>
      </c>
      <c r="N1377" s="1">
        <v>21.12</v>
      </c>
      <c r="O1377" s="1" t="s">
        <v>24</v>
      </c>
      <c r="P1377" s="1">
        <v>2.4900000000000002</v>
      </c>
      <c r="Q1377" s="1" t="s">
        <v>16</v>
      </c>
      <c r="R1377" s="1" t="str">
        <f>IF(N1377="","",VLOOKUP(N1377,Prior_levels,2,TRUE))</f>
        <v>L</v>
      </c>
    </row>
    <row r="1378" spans="1:18" x14ac:dyDescent="0.2">
      <c r="A1378" s="1" t="s">
        <v>155</v>
      </c>
      <c r="B1378" s="1" t="s">
        <v>12</v>
      </c>
      <c r="C1378" s="2">
        <v>41155</v>
      </c>
      <c r="D1378" s="1">
        <v>10</v>
      </c>
      <c r="E1378" s="1" t="s">
        <v>52</v>
      </c>
      <c r="I1378" s="1" t="s">
        <v>12</v>
      </c>
      <c r="J1378" s="1" t="s">
        <v>156</v>
      </c>
      <c r="K1378" s="1" t="s">
        <v>157</v>
      </c>
      <c r="L1378" s="1" t="s">
        <v>12</v>
      </c>
      <c r="M1378" s="1" t="s">
        <v>12</v>
      </c>
      <c r="N1378" s="1">
        <v>21.12</v>
      </c>
      <c r="O1378" s="1" t="s">
        <v>25</v>
      </c>
      <c r="P1378" s="1">
        <v>-1.2</v>
      </c>
      <c r="Q1378" s="1" t="s">
        <v>16</v>
      </c>
      <c r="R1378" s="1" t="str">
        <f>IF(N1378="","",VLOOKUP(N1378,Prior_levels,2,TRUE))</f>
        <v>L</v>
      </c>
    </row>
    <row r="1379" spans="1:18" x14ac:dyDescent="0.2">
      <c r="A1379" s="1" t="s">
        <v>155</v>
      </c>
      <c r="B1379" s="1" t="s">
        <v>12</v>
      </c>
      <c r="C1379" s="2">
        <v>41155</v>
      </c>
      <c r="D1379" s="1">
        <v>10</v>
      </c>
      <c r="E1379" s="1" t="s">
        <v>52</v>
      </c>
      <c r="I1379" s="1" t="s">
        <v>12</v>
      </c>
      <c r="J1379" s="1" t="s">
        <v>156</v>
      </c>
      <c r="K1379" s="1" t="s">
        <v>157</v>
      </c>
      <c r="L1379" s="1" t="s">
        <v>12</v>
      </c>
      <c r="M1379" s="1" t="s">
        <v>12</v>
      </c>
      <c r="N1379" s="1">
        <v>21.12</v>
      </c>
      <c r="O1379" s="1" t="s">
        <v>26</v>
      </c>
      <c r="P1379" s="1">
        <v>0</v>
      </c>
      <c r="Q1379" s="1" t="s">
        <v>16</v>
      </c>
      <c r="R1379" s="1" t="str">
        <f>IF(N1379="","",VLOOKUP(N1379,Prior_levels,2,TRUE))</f>
        <v>L</v>
      </c>
    </row>
    <row r="1380" spans="1:18" x14ac:dyDescent="0.2">
      <c r="A1380" s="1" t="s">
        <v>155</v>
      </c>
      <c r="B1380" s="1" t="s">
        <v>12</v>
      </c>
      <c r="C1380" s="2">
        <v>41155</v>
      </c>
      <c r="D1380" s="1">
        <v>10</v>
      </c>
      <c r="E1380" s="1" t="s">
        <v>52</v>
      </c>
      <c r="I1380" s="1" t="s">
        <v>12</v>
      </c>
      <c r="J1380" s="1" t="s">
        <v>156</v>
      </c>
      <c r="K1380" s="1" t="s">
        <v>157</v>
      </c>
      <c r="L1380" s="1" t="s">
        <v>12</v>
      </c>
      <c r="M1380" s="1" t="s">
        <v>12</v>
      </c>
      <c r="N1380" s="1">
        <v>21.12</v>
      </c>
      <c r="O1380" s="1" t="s">
        <v>27</v>
      </c>
      <c r="P1380" s="1" t="s">
        <v>28</v>
      </c>
      <c r="Q1380" s="1" t="s">
        <v>16</v>
      </c>
      <c r="R1380" s="1" t="str">
        <f>IF(N1380="","",VLOOKUP(N1380,Prior_levels,2,TRUE))</f>
        <v>L</v>
      </c>
    </row>
    <row r="1381" spans="1:18" x14ac:dyDescent="0.2">
      <c r="A1381" s="1" t="s">
        <v>155</v>
      </c>
      <c r="B1381" s="1" t="s">
        <v>12</v>
      </c>
      <c r="C1381" s="2">
        <v>41155</v>
      </c>
      <c r="D1381" s="1">
        <v>10</v>
      </c>
      <c r="E1381" s="1" t="s">
        <v>52</v>
      </c>
      <c r="I1381" s="1" t="s">
        <v>12</v>
      </c>
      <c r="J1381" s="1" t="s">
        <v>156</v>
      </c>
      <c r="K1381" s="1" t="s">
        <v>157</v>
      </c>
      <c r="L1381" s="1" t="s">
        <v>12</v>
      </c>
      <c r="M1381" s="1" t="s">
        <v>12</v>
      </c>
      <c r="N1381" s="1">
        <v>21.12</v>
      </c>
      <c r="O1381" s="1" t="s">
        <v>29</v>
      </c>
      <c r="P1381" s="1" t="s">
        <v>28</v>
      </c>
      <c r="Q1381" s="1" t="s">
        <v>16</v>
      </c>
      <c r="R1381" s="1" t="str">
        <f>IF(N1381="","",VLOOKUP(N1381,Prior_levels,2,TRUE))</f>
        <v>L</v>
      </c>
    </row>
    <row r="1382" spans="1:18" x14ac:dyDescent="0.2">
      <c r="A1382" s="1" t="s">
        <v>155</v>
      </c>
      <c r="B1382" s="1" t="s">
        <v>12</v>
      </c>
      <c r="C1382" s="2">
        <v>41155</v>
      </c>
      <c r="D1382" s="1">
        <v>10</v>
      </c>
      <c r="E1382" s="1" t="s">
        <v>52</v>
      </c>
      <c r="I1382" s="1" t="s">
        <v>12</v>
      </c>
      <c r="J1382" s="1" t="s">
        <v>156</v>
      </c>
      <c r="K1382" s="1" t="s">
        <v>157</v>
      </c>
      <c r="L1382" s="1" t="s">
        <v>12</v>
      </c>
      <c r="M1382" s="1" t="s">
        <v>12</v>
      </c>
      <c r="N1382" s="1">
        <v>21.12</v>
      </c>
      <c r="O1382" s="1" t="s">
        <v>30</v>
      </c>
      <c r="P1382" s="1" t="s">
        <v>28</v>
      </c>
      <c r="Q1382" s="1" t="s">
        <v>16</v>
      </c>
      <c r="R1382" s="1" t="str">
        <f>IF(N1382="","",VLOOKUP(N1382,Prior_levels,2,TRUE))</f>
        <v>L</v>
      </c>
    </row>
    <row r="1383" spans="1:18" x14ac:dyDescent="0.2">
      <c r="A1383" s="1" t="s">
        <v>155</v>
      </c>
      <c r="B1383" s="1" t="s">
        <v>12</v>
      </c>
      <c r="C1383" s="2">
        <v>41155</v>
      </c>
      <c r="D1383" s="1">
        <v>10</v>
      </c>
      <c r="E1383" s="1" t="s">
        <v>52</v>
      </c>
      <c r="I1383" s="1" t="s">
        <v>12</v>
      </c>
      <c r="J1383" s="1" t="s">
        <v>156</v>
      </c>
      <c r="K1383" s="1" t="s">
        <v>157</v>
      </c>
      <c r="L1383" s="1" t="s">
        <v>12</v>
      </c>
      <c r="M1383" s="1" t="s">
        <v>12</v>
      </c>
      <c r="N1383" s="1">
        <v>21.12</v>
      </c>
      <c r="O1383" s="1" t="s">
        <v>31</v>
      </c>
      <c r="P1383" s="1" t="s">
        <v>28</v>
      </c>
      <c r="Q1383" s="1" t="s">
        <v>16</v>
      </c>
      <c r="R1383" s="1" t="str">
        <f>IF(N1383="","",VLOOKUP(N1383,Prior_levels,2,TRUE))</f>
        <v>L</v>
      </c>
    </row>
    <row r="1384" spans="1:18" x14ac:dyDescent="0.2">
      <c r="A1384" s="1" t="s">
        <v>155</v>
      </c>
      <c r="B1384" s="1" t="s">
        <v>12</v>
      </c>
      <c r="C1384" s="2">
        <v>41155</v>
      </c>
      <c r="D1384" s="1">
        <v>10</v>
      </c>
      <c r="E1384" s="1" t="s">
        <v>52</v>
      </c>
      <c r="I1384" s="1" t="s">
        <v>12</v>
      </c>
      <c r="J1384" s="1" t="s">
        <v>156</v>
      </c>
      <c r="K1384" s="1" t="s">
        <v>157</v>
      </c>
      <c r="L1384" s="1" t="s">
        <v>12</v>
      </c>
      <c r="M1384" s="1" t="s">
        <v>12</v>
      </c>
      <c r="N1384" s="1">
        <v>21.12</v>
      </c>
      <c r="O1384" s="1" t="s">
        <v>32</v>
      </c>
      <c r="P1384" s="1" t="s">
        <v>28</v>
      </c>
      <c r="Q1384" s="1" t="s">
        <v>16</v>
      </c>
      <c r="R1384" s="1" t="str">
        <f>IF(N1384="","",VLOOKUP(N1384,Prior_levels,2,TRUE))</f>
        <v>L</v>
      </c>
    </row>
    <row r="1385" spans="1:18" x14ac:dyDescent="0.2">
      <c r="A1385" s="1" t="s">
        <v>158</v>
      </c>
      <c r="B1385" s="1" t="s">
        <v>12</v>
      </c>
      <c r="C1385" s="2">
        <v>41155</v>
      </c>
      <c r="D1385" s="1">
        <v>10</v>
      </c>
      <c r="E1385" s="1" t="s">
        <v>11</v>
      </c>
      <c r="I1385" s="1" t="s">
        <v>12</v>
      </c>
      <c r="J1385" s="1" t="s">
        <v>159</v>
      </c>
      <c r="K1385" s="1" t="s">
        <v>160</v>
      </c>
      <c r="L1385" s="1" t="s">
        <v>12</v>
      </c>
      <c r="M1385" s="1" t="s">
        <v>12</v>
      </c>
      <c r="N1385" s="1">
        <v>15.06</v>
      </c>
      <c r="O1385" s="1" t="s">
        <v>15</v>
      </c>
      <c r="P1385" s="1">
        <v>2</v>
      </c>
      <c r="Q1385" s="1" t="s">
        <v>16</v>
      </c>
      <c r="R1385" s="1" t="str">
        <f>IF(N1385="","",VLOOKUP(N1385,Prior_levels,2,TRUE))</f>
        <v>L</v>
      </c>
    </row>
    <row r="1386" spans="1:18" x14ac:dyDescent="0.2">
      <c r="A1386" s="1" t="s">
        <v>158</v>
      </c>
      <c r="B1386" s="1" t="s">
        <v>12</v>
      </c>
      <c r="C1386" s="2">
        <v>41155</v>
      </c>
      <c r="D1386" s="1">
        <v>10</v>
      </c>
      <c r="E1386" s="1" t="s">
        <v>11</v>
      </c>
      <c r="I1386" s="1" t="s">
        <v>12</v>
      </c>
      <c r="J1386" s="1" t="s">
        <v>159</v>
      </c>
      <c r="K1386" s="1" t="s">
        <v>160</v>
      </c>
      <c r="L1386" s="1" t="s">
        <v>12</v>
      </c>
      <c r="M1386" s="1" t="s">
        <v>12</v>
      </c>
      <c r="N1386" s="1">
        <v>15.06</v>
      </c>
      <c r="O1386" s="1" t="s">
        <v>17</v>
      </c>
      <c r="P1386" s="1">
        <v>0.09</v>
      </c>
      <c r="Q1386" s="1" t="s">
        <v>16</v>
      </c>
      <c r="R1386" s="1" t="str">
        <f>IF(N1386="","",VLOOKUP(N1386,Prior_levels,2,TRUE))</f>
        <v>L</v>
      </c>
    </row>
    <row r="1387" spans="1:18" x14ac:dyDescent="0.2">
      <c r="A1387" s="1" t="s">
        <v>158</v>
      </c>
      <c r="B1387" s="1" t="s">
        <v>12</v>
      </c>
      <c r="C1387" s="2">
        <v>41155</v>
      </c>
      <c r="D1387" s="1">
        <v>10</v>
      </c>
      <c r="E1387" s="1" t="s">
        <v>11</v>
      </c>
      <c r="I1387" s="1" t="s">
        <v>12</v>
      </c>
      <c r="J1387" s="1" t="s">
        <v>159</v>
      </c>
      <c r="K1387" s="1" t="s">
        <v>160</v>
      </c>
      <c r="L1387" s="1" t="s">
        <v>12</v>
      </c>
      <c r="M1387" s="1" t="s">
        <v>12</v>
      </c>
      <c r="N1387" s="1">
        <v>15.06</v>
      </c>
      <c r="O1387" s="1" t="s">
        <v>18</v>
      </c>
      <c r="P1387" s="1">
        <v>4</v>
      </c>
      <c r="Q1387" s="1" t="s">
        <v>16</v>
      </c>
      <c r="R1387" s="1" t="str">
        <f>IF(N1387="","",VLOOKUP(N1387,Prior_levels,2,TRUE))</f>
        <v>L</v>
      </c>
    </row>
    <row r="1388" spans="1:18" x14ac:dyDescent="0.2">
      <c r="A1388" s="1" t="s">
        <v>158</v>
      </c>
      <c r="B1388" s="1" t="s">
        <v>12</v>
      </c>
      <c r="C1388" s="2">
        <v>41155</v>
      </c>
      <c r="D1388" s="1">
        <v>10</v>
      </c>
      <c r="E1388" s="1" t="s">
        <v>11</v>
      </c>
      <c r="I1388" s="1" t="s">
        <v>12</v>
      </c>
      <c r="J1388" s="1" t="s">
        <v>159</v>
      </c>
      <c r="K1388" s="1" t="s">
        <v>160</v>
      </c>
      <c r="L1388" s="1" t="s">
        <v>12</v>
      </c>
      <c r="M1388" s="1" t="s">
        <v>12</v>
      </c>
      <c r="N1388" s="1">
        <v>15.06</v>
      </c>
      <c r="O1388" s="1" t="s">
        <v>19</v>
      </c>
      <c r="P1388" s="1">
        <v>4</v>
      </c>
      <c r="Q1388" s="1" t="s">
        <v>16</v>
      </c>
      <c r="R1388" s="1" t="str">
        <f>IF(N1388="","",VLOOKUP(N1388,Prior_levels,2,TRUE))</f>
        <v>L</v>
      </c>
    </row>
    <row r="1389" spans="1:18" x14ac:dyDescent="0.2">
      <c r="A1389" s="1" t="s">
        <v>158</v>
      </c>
      <c r="B1389" s="1" t="s">
        <v>12</v>
      </c>
      <c r="C1389" s="2">
        <v>41155</v>
      </c>
      <c r="D1389" s="1">
        <v>10</v>
      </c>
      <c r="E1389" s="1" t="s">
        <v>11</v>
      </c>
      <c r="I1389" s="1" t="s">
        <v>12</v>
      </c>
      <c r="J1389" s="1" t="s">
        <v>159</v>
      </c>
      <c r="K1389" s="1" t="s">
        <v>160</v>
      </c>
      <c r="L1389" s="1" t="s">
        <v>12</v>
      </c>
      <c r="M1389" s="1" t="s">
        <v>12</v>
      </c>
      <c r="N1389" s="1">
        <v>15.06</v>
      </c>
      <c r="O1389" s="1" t="s">
        <v>20</v>
      </c>
      <c r="P1389" s="1">
        <v>4.5</v>
      </c>
      <c r="Q1389" s="1" t="s">
        <v>16</v>
      </c>
      <c r="R1389" s="1" t="str">
        <f>IF(N1389="","",VLOOKUP(N1389,Prior_levels,2,TRUE))</f>
        <v>L</v>
      </c>
    </row>
    <row r="1390" spans="1:18" x14ac:dyDescent="0.2">
      <c r="A1390" s="1" t="s">
        <v>158</v>
      </c>
      <c r="B1390" s="1" t="s">
        <v>12</v>
      </c>
      <c r="C1390" s="2">
        <v>41155</v>
      </c>
      <c r="D1390" s="1">
        <v>10</v>
      </c>
      <c r="E1390" s="1" t="s">
        <v>11</v>
      </c>
      <c r="I1390" s="1" t="s">
        <v>12</v>
      </c>
      <c r="J1390" s="1" t="s">
        <v>159</v>
      </c>
      <c r="K1390" s="1" t="s">
        <v>160</v>
      </c>
      <c r="L1390" s="1" t="s">
        <v>12</v>
      </c>
      <c r="M1390" s="1" t="s">
        <v>12</v>
      </c>
      <c r="N1390" s="1">
        <v>15.06</v>
      </c>
      <c r="O1390" s="1" t="s">
        <v>21</v>
      </c>
      <c r="P1390" s="1">
        <v>7.5</v>
      </c>
      <c r="Q1390" s="1" t="s">
        <v>16</v>
      </c>
      <c r="R1390" s="1" t="str">
        <f>IF(N1390="","",VLOOKUP(N1390,Prior_levels,2,TRUE))</f>
        <v>L</v>
      </c>
    </row>
    <row r="1391" spans="1:18" x14ac:dyDescent="0.2">
      <c r="A1391" s="1" t="s">
        <v>158</v>
      </c>
      <c r="B1391" s="1" t="s">
        <v>12</v>
      </c>
      <c r="C1391" s="2">
        <v>41155</v>
      </c>
      <c r="D1391" s="1">
        <v>10</v>
      </c>
      <c r="E1391" s="1" t="s">
        <v>11</v>
      </c>
      <c r="I1391" s="1" t="s">
        <v>12</v>
      </c>
      <c r="J1391" s="1" t="s">
        <v>159</v>
      </c>
      <c r="K1391" s="1" t="s">
        <v>160</v>
      </c>
      <c r="L1391" s="1" t="s">
        <v>12</v>
      </c>
      <c r="M1391" s="1" t="s">
        <v>12</v>
      </c>
      <c r="N1391" s="1">
        <v>15.06</v>
      </c>
      <c r="O1391" s="1" t="s">
        <v>22</v>
      </c>
      <c r="P1391" s="1">
        <v>-0.66</v>
      </c>
      <c r="Q1391" s="1" t="s">
        <v>16</v>
      </c>
      <c r="R1391" s="1" t="str">
        <f>IF(N1391="","",VLOOKUP(N1391,Prior_levels,2,TRUE))</f>
        <v>L</v>
      </c>
    </row>
    <row r="1392" spans="1:18" x14ac:dyDescent="0.2">
      <c r="A1392" s="1" t="s">
        <v>158</v>
      </c>
      <c r="B1392" s="1" t="s">
        <v>12</v>
      </c>
      <c r="C1392" s="2">
        <v>41155</v>
      </c>
      <c r="D1392" s="1">
        <v>10</v>
      </c>
      <c r="E1392" s="1" t="s">
        <v>11</v>
      </c>
      <c r="I1392" s="1" t="s">
        <v>12</v>
      </c>
      <c r="J1392" s="1" t="s">
        <v>159</v>
      </c>
      <c r="K1392" s="1" t="s">
        <v>160</v>
      </c>
      <c r="L1392" s="1" t="s">
        <v>12</v>
      </c>
      <c r="M1392" s="1" t="s">
        <v>12</v>
      </c>
      <c r="N1392" s="1">
        <v>15.06</v>
      </c>
      <c r="O1392" s="1" t="s">
        <v>23</v>
      </c>
      <c r="P1392" s="1">
        <v>0.68</v>
      </c>
      <c r="Q1392" s="1" t="s">
        <v>16</v>
      </c>
      <c r="R1392" s="1" t="str">
        <f>IF(N1392="","",VLOOKUP(N1392,Prior_levels,2,TRUE))</f>
        <v>L</v>
      </c>
    </row>
    <row r="1393" spans="1:18" x14ac:dyDescent="0.2">
      <c r="A1393" s="1" t="s">
        <v>158</v>
      </c>
      <c r="B1393" s="1" t="s">
        <v>12</v>
      </c>
      <c r="C1393" s="2">
        <v>41155</v>
      </c>
      <c r="D1393" s="1">
        <v>10</v>
      </c>
      <c r="E1393" s="1" t="s">
        <v>11</v>
      </c>
      <c r="I1393" s="1" t="s">
        <v>12</v>
      </c>
      <c r="J1393" s="1" t="s">
        <v>159</v>
      </c>
      <c r="K1393" s="1" t="s">
        <v>160</v>
      </c>
      <c r="L1393" s="1" t="s">
        <v>12</v>
      </c>
      <c r="M1393" s="1" t="s">
        <v>12</v>
      </c>
      <c r="N1393" s="1">
        <v>15.06</v>
      </c>
      <c r="O1393" s="1" t="s">
        <v>25</v>
      </c>
      <c r="P1393" s="1">
        <v>-1.1299999999999999</v>
      </c>
      <c r="Q1393" s="1" t="s">
        <v>16</v>
      </c>
      <c r="R1393" s="1" t="str">
        <f>IF(N1393="","",VLOOKUP(N1393,Prior_levels,2,TRUE))</f>
        <v>L</v>
      </c>
    </row>
    <row r="1394" spans="1:18" x14ac:dyDescent="0.2">
      <c r="A1394" s="1" t="s">
        <v>158</v>
      </c>
      <c r="B1394" s="1" t="s">
        <v>12</v>
      </c>
      <c r="C1394" s="2">
        <v>41155</v>
      </c>
      <c r="D1394" s="1">
        <v>10</v>
      </c>
      <c r="E1394" s="1" t="s">
        <v>11</v>
      </c>
      <c r="I1394" s="1" t="s">
        <v>12</v>
      </c>
      <c r="J1394" s="1" t="s">
        <v>159</v>
      </c>
      <c r="K1394" s="1" t="s">
        <v>160</v>
      </c>
      <c r="L1394" s="1" t="s">
        <v>12</v>
      </c>
      <c r="M1394" s="1" t="s">
        <v>12</v>
      </c>
      <c r="N1394" s="1">
        <v>15.06</v>
      </c>
      <c r="O1394" s="1" t="s">
        <v>26</v>
      </c>
      <c r="P1394" s="1">
        <v>1</v>
      </c>
      <c r="Q1394" s="1" t="s">
        <v>16</v>
      </c>
      <c r="R1394" s="1" t="str">
        <f>IF(N1394="","",VLOOKUP(N1394,Prior_levels,2,TRUE))</f>
        <v>L</v>
      </c>
    </row>
    <row r="1395" spans="1:18" x14ac:dyDescent="0.2">
      <c r="A1395" s="1" t="s">
        <v>158</v>
      </c>
      <c r="B1395" s="1" t="s">
        <v>12</v>
      </c>
      <c r="C1395" s="2">
        <v>41155</v>
      </c>
      <c r="D1395" s="1">
        <v>10</v>
      </c>
      <c r="E1395" s="1" t="s">
        <v>11</v>
      </c>
      <c r="I1395" s="1" t="s">
        <v>12</v>
      </c>
      <c r="J1395" s="1" t="s">
        <v>159</v>
      </c>
      <c r="K1395" s="1" t="s">
        <v>160</v>
      </c>
      <c r="L1395" s="1" t="s">
        <v>12</v>
      </c>
      <c r="M1395" s="1" t="s">
        <v>12</v>
      </c>
      <c r="N1395" s="1">
        <v>15.06</v>
      </c>
      <c r="O1395" s="1" t="s">
        <v>24</v>
      </c>
      <c r="P1395" s="1">
        <v>1.94</v>
      </c>
      <c r="Q1395" s="1" t="s">
        <v>16</v>
      </c>
      <c r="R1395" s="1" t="str">
        <f>IF(N1395="","",VLOOKUP(N1395,Prior_levels,2,TRUE))</f>
        <v>L</v>
      </c>
    </row>
    <row r="1396" spans="1:18" x14ac:dyDescent="0.2">
      <c r="A1396" s="1" t="s">
        <v>158</v>
      </c>
      <c r="B1396" s="1" t="s">
        <v>12</v>
      </c>
      <c r="C1396" s="2">
        <v>41155</v>
      </c>
      <c r="D1396" s="1">
        <v>10</v>
      </c>
      <c r="E1396" s="1" t="s">
        <v>11</v>
      </c>
      <c r="I1396" s="1" t="s">
        <v>12</v>
      </c>
      <c r="J1396" s="1" t="s">
        <v>159</v>
      </c>
      <c r="K1396" s="1" t="s">
        <v>160</v>
      </c>
      <c r="L1396" s="1" t="s">
        <v>12</v>
      </c>
      <c r="M1396" s="1" t="s">
        <v>12</v>
      </c>
      <c r="N1396" s="1">
        <v>15.06</v>
      </c>
      <c r="O1396" s="1" t="s">
        <v>32</v>
      </c>
      <c r="P1396" s="1" t="s">
        <v>28</v>
      </c>
      <c r="Q1396" s="1" t="s">
        <v>16</v>
      </c>
      <c r="R1396" s="1" t="str">
        <f>IF(N1396="","",VLOOKUP(N1396,Prior_levels,2,TRUE))</f>
        <v>L</v>
      </c>
    </row>
    <row r="1397" spans="1:18" x14ac:dyDescent="0.2">
      <c r="A1397" s="1" t="s">
        <v>158</v>
      </c>
      <c r="B1397" s="1" t="s">
        <v>12</v>
      </c>
      <c r="C1397" s="2">
        <v>41155</v>
      </c>
      <c r="D1397" s="1">
        <v>10</v>
      </c>
      <c r="E1397" s="1" t="s">
        <v>11</v>
      </c>
      <c r="I1397" s="1" t="s">
        <v>12</v>
      </c>
      <c r="J1397" s="1" t="s">
        <v>159</v>
      </c>
      <c r="K1397" s="1" t="s">
        <v>160</v>
      </c>
      <c r="L1397" s="1" t="s">
        <v>12</v>
      </c>
      <c r="M1397" s="1" t="s">
        <v>12</v>
      </c>
      <c r="N1397" s="1">
        <v>15.06</v>
      </c>
      <c r="O1397" s="1" t="s">
        <v>27</v>
      </c>
      <c r="P1397" s="1" t="s">
        <v>28</v>
      </c>
      <c r="Q1397" s="1" t="s">
        <v>16</v>
      </c>
      <c r="R1397" s="1" t="str">
        <f>IF(N1397="","",VLOOKUP(N1397,Prior_levels,2,TRUE))</f>
        <v>L</v>
      </c>
    </row>
    <row r="1398" spans="1:18" x14ac:dyDescent="0.2">
      <c r="A1398" s="1" t="s">
        <v>158</v>
      </c>
      <c r="B1398" s="1" t="s">
        <v>12</v>
      </c>
      <c r="C1398" s="2">
        <v>41155</v>
      </c>
      <c r="D1398" s="1">
        <v>10</v>
      </c>
      <c r="E1398" s="1" t="s">
        <v>11</v>
      </c>
      <c r="I1398" s="1" t="s">
        <v>12</v>
      </c>
      <c r="J1398" s="1" t="s">
        <v>159</v>
      </c>
      <c r="K1398" s="1" t="s">
        <v>160</v>
      </c>
      <c r="L1398" s="1" t="s">
        <v>12</v>
      </c>
      <c r="M1398" s="1" t="s">
        <v>12</v>
      </c>
      <c r="N1398" s="1">
        <v>15.06</v>
      </c>
      <c r="O1398" s="1" t="s">
        <v>29</v>
      </c>
      <c r="P1398" s="1" t="s">
        <v>28</v>
      </c>
      <c r="Q1398" s="1" t="s">
        <v>16</v>
      </c>
      <c r="R1398" s="1" t="str">
        <f>IF(N1398="","",VLOOKUP(N1398,Prior_levels,2,TRUE))</f>
        <v>L</v>
      </c>
    </row>
    <row r="1399" spans="1:18" x14ac:dyDescent="0.2">
      <c r="A1399" s="1" t="s">
        <v>158</v>
      </c>
      <c r="B1399" s="1" t="s">
        <v>12</v>
      </c>
      <c r="C1399" s="2">
        <v>41155</v>
      </c>
      <c r="D1399" s="1">
        <v>10</v>
      </c>
      <c r="E1399" s="1" t="s">
        <v>11</v>
      </c>
      <c r="I1399" s="1" t="s">
        <v>12</v>
      </c>
      <c r="J1399" s="1" t="s">
        <v>159</v>
      </c>
      <c r="K1399" s="1" t="s">
        <v>160</v>
      </c>
      <c r="L1399" s="1" t="s">
        <v>12</v>
      </c>
      <c r="M1399" s="1" t="s">
        <v>12</v>
      </c>
      <c r="N1399" s="1">
        <v>15.06</v>
      </c>
      <c r="O1399" s="1" t="s">
        <v>30</v>
      </c>
      <c r="P1399" s="1" t="s">
        <v>28</v>
      </c>
      <c r="Q1399" s="1" t="s">
        <v>16</v>
      </c>
      <c r="R1399" s="1" t="str">
        <f>IF(N1399="","",VLOOKUP(N1399,Prior_levels,2,TRUE))</f>
        <v>L</v>
      </c>
    </row>
    <row r="1400" spans="1:18" x14ac:dyDescent="0.2">
      <c r="A1400" s="1" t="s">
        <v>158</v>
      </c>
      <c r="B1400" s="1" t="s">
        <v>12</v>
      </c>
      <c r="C1400" s="2">
        <v>41155</v>
      </c>
      <c r="D1400" s="1">
        <v>10</v>
      </c>
      <c r="E1400" s="1" t="s">
        <v>11</v>
      </c>
      <c r="I1400" s="1" t="s">
        <v>12</v>
      </c>
      <c r="J1400" s="1" t="s">
        <v>159</v>
      </c>
      <c r="K1400" s="1" t="s">
        <v>160</v>
      </c>
      <c r="L1400" s="1" t="s">
        <v>12</v>
      </c>
      <c r="M1400" s="1" t="s">
        <v>12</v>
      </c>
      <c r="N1400" s="1">
        <v>15.06</v>
      </c>
      <c r="O1400" s="1" t="s">
        <v>31</v>
      </c>
      <c r="P1400" s="1" t="s">
        <v>28</v>
      </c>
      <c r="Q1400" s="1" t="s">
        <v>16</v>
      </c>
      <c r="R1400" s="1" t="str">
        <f>IF(N1400="","",VLOOKUP(N1400,Prior_levels,2,TRUE))</f>
        <v>L</v>
      </c>
    </row>
    <row r="1401" spans="1:18" x14ac:dyDescent="0.2">
      <c r="A1401" s="1" t="s">
        <v>161</v>
      </c>
      <c r="B1401" s="1" t="s">
        <v>12</v>
      </c>
      <c r="C1401" s="2">
        <v>41155</v>
      </c>
      <c r="D1401" s="1">
        <v>10</v>
      </c>
      <c r="E1401" s="1" t="s">
        <v>42</v>
      </c>
      <c r="I1401" s="1" t="s">
        <v>12</v>
      </c>
      <c r="J1401" s="1" t="s">
        <v>40</v>
      </c>
      <c r="K1401" s="1" t="s">
        <v>14</v>
      </c>
      <c r="L1401" s="1" t="s">
        <v>12</v>
      </c>
      <c r="M1401" s="1" t="s">
        <v>12</v>
      </c>
      <c r="N1401" s="1">
        <v>27.12</v>
      </c>
      <c r="O1401" s="1" t="s">
        <v>15</v>
      </c>
      <c r="P1401" s="1">
        <v>4.5</v>
      </c>
      <c r="Q1401" s="1" t="s">
        <v>16</v>
      </c>
      <c r="R1401" s="1" t="str">
        <f>IF(N1401="","",VLOOKUP(N1401,Prior_levels,2,TRUE))</f>
        <v>M</v>
      </c>
    </row>
    <row r="1402" spans="1:18" x14ac:dyDescent="0.2">
      <c r="A1402" s="1" t="s">
        <v>161</v>
      </c>
      <c r="B1402" s="1" t="s">
        <v>12</v>
      </c>
      <c r="C1402" s="2">
        <v>41155</v>
      </c>
      <c r="D1402" s="1">
        <v>10</v>
      </c>
      <c r="E1402" s="1" t="s">
        <v>42</v>
      </c>
      <c r="I1402" s="1" t="s">
        <v>12</v>
      </c>
      <c r="J1402" s="1" t="s">
        <v>40</v>
      </c>
      <c r="K1402" s="1" t="s">
        <v>14</v>
      </c>
      <c r="L1402" s="1" t="s">
        <v>12</v>
      </c>
      <c r="M1402" s="1" t="s">
        <v>12</v>
      </c>
      <c r="N1402" s="1">
        <v>27.12</v>
      </c>
      <c r="O1402" s="1" t="s">
        <v>17</v>
      </c>
      <c r="P1402" s="1">
        <v>-0.05</v>
      </c>
      <c r="Q1402" s="1" t="s">
        <v>16</v>
      </c>
      <c r="R1402" s="1" t="str">
        <f>IF(N1402="","",VLOOKUP(N1402,Prior_levels,2,TRUE))</f>
        <v>M</v>
      </c>
    </row>
    <row r="1403" spans="1:18" x14ac:dyDescent="0.2">
      <c r="A1403" s="1" t="s">
        <v>161</v>
      </c>
      <c r="B1403" s="1" t="s">
        <v>12</v>
      </c>
      <c r="C1403" s="2">
        <v>41155</v>
      </c>
      <c r="D1403" s="1">
        <v>10</v>
      </c>
      <c r="E1403" s="1" t="s">
        <v>42</v>
      </c>
      <c r="I1403" s="1" t="s">
        <v>12</v>
      </c>
      <c r="J1403" s="1" t="s">
        <v>40</v>
      </c>
      <c r="K1403" s="1" t="s">
        <v>14</v>
      </c>
      <c r="L1403" s="1" t="s">
        <v>12</v>
      </c>
      <c r="M1403" s="1" t="s">
        <v>12</v>
      </c>
      <c r="N1403" s="1">
        <v>27.12</v>
      </c>
      <c r="O1403" s="1" t="s">
        <v>18</v>
      </c>
      <c r="P1403" s="1">
        <v>10</v>
      </c>
      <c r="Q1403" s="1" t="s">
        <v>16</v>
      </c>
      <c r="R1403" s="1" t="str">
        <f>IF(N1403="","",VLOOKUP(N1403,Prior_levels,2,TRUE))</f>
        <v>M</v>
      </c>
    </row>
    <row r="1404" spans="1:18" x14ac:dyDescent="0.2">
      <c r="A1404" s="1" t="s">
        <v>161</v>
      </c>
      <c r="B1404" s="1" t="s">
        <v>12</v>
      </c>
      <c r="C1404" s="2">
        <v>41155</v>
      </c>
      <c r="D1404" s="1">
        <v>10</v>
      </c>
      <c r="E1404" s="1" t="s">
        <v>42</v>
      </c>
      <c r="I1404" s="1" t="s">
        <v>12</v>
      </c>
      <c r="J1404" s="1" t="s">
        <v>40</v>
      </c>
      <c r="K1404" s="1" t="s">
        <v>14</v>
      </c>
      <c r="L1404" s="1" t="s">
        <v>12</v>
      </c>
      <c r="M1404" s="1" t="s">
        <v>12</v>
      </c>
      <c r="N1404" s="1">
        <v>27.12</v>
      </c>
      <c r="O1404" s="1" t="s">
        <v>19</v>
      </c>
      <c r="P1404" s="1">
        <v>10</v>
      </c>
      <c r="Q1404" s="1" t="s">
        <v>16</v>
      </c>
      <c r="R1404" s="1" t="str">
        <f>IF(N1404="","",VLOOKUP(N1404,Prior_levels,2,TRUE))</f>
        <v>M</v>
      </c>
    </row>
    <row r="1405" spans="1:18" x14ac:dyDescent="0.2">
      <c r="A1405" s="1" t="s">
        <v>161</v>
      </c>
      <c r="B1405" s="1" t="s">
        <v>12</v>
      </c>
      <c r="C1405" s="2">
        <v>41155</v>
      </c>
      <c r="D1405" s="1">
        <v>10</v>
      </c>
      <c r="E1405" s="1" t="s">
        <v>42</v>
      </c>
      <c r="I1405" s="1" t="s">
        <v>12</v>
      </c>
      <c r="J1405" s="1" t="s">
        <v>40</v>
      </c>
      <c r="K1405" s="1" t="s">
        <v>14</v>
      </c>
      <c r="L1405" s="1" t="s">
        <v>12</v>
      </c>
      <c r="M1405" s="1" t="s">
        <v>12</v>
      </c>
      <c r="N1405" s="1">
        <v>27.12</v>
      </c>
      <c r="O1405" s="1" t="s">
        <v>20</v>
      </c>
      <c r="P1405" s="1">
        <v>12</v>
      </c>
      <c r="Q1405" s="1" t="s">
        <v>16</v>
      </c>
      <c r="R1405" s="1" t="str">
        <f>IF(N1405="","",VLOOKUP(N1405,Prior_levels,2,TRUE))</f>
        <v>M</v>
      </c>
    </row>
    <row r="1406" spans="1:18" x14ac:dyDescent="0.2">
      <c r="A1406" s="1" t="s">
        <v>161</v>
      </c>
      <c r="B1406" s="1" t="s">
        <v>12</v>
      </c>
      <c r="C1406" s="2">
        <v>41155</v>
      </c>
      <c r="D1406" s="1">
        <v>10</v>
      </c>
      <c r="E1406" s="1" t="s">
        <v>42</v>
      </c>
      <c r="I1406" s="1" t="s">
        <v>12</v>
      </c>
      <c r="J1406" s="1" t="s">
        <v>40</v>
      </c>
      <c r="K1406" s="1" t="s">
        <v>14</v>
      </c>
      <c r="L1406" s="1" t="s">
        <v>12</v>
      </c>
      <c r="M1406" s="1" t="s">
        <v>12</v>
      </c>
      <c r="N1406" s="1">
        <v>27.12</v>
      </c>
      <c r="O1406" s="1" t="s">
        <v>21</v>
      </c>
      <c r="P1406" s="1">
        <v>13</v>
      </c>
      <c r="Q1406" s="1" t="s">
        <v>16</v>
      </c>
      <c r="R1406" s="1" t="str">
        <f>IF(N1406="","",VLOOKUP(N1406,Prior_levels,2,TRUE))</f>
        <v>M</v>
      </c>
    </row>
    <row r="1407" spans="1:18" x14ac:dyDescent="0.2">
      <c r="A1407" s="1" t="s">
        <v>161</v>
      </c>
      <c r="B1407" s="1" t="s">
        <v>12</v>
      </c>
      <c r="C1407" s="2">
        <v>41155</v>
      </c>
      <c r="D1407" s="1">
        <v>10</v>
      </c>
      <c r="E1407" s="1" t="s">
        <v>42</v>
      </c>
      <c r="I1407" s="1" t="s">
        <v>12</v>
      </c>
      <c r="J1407" s="1" t="s">
        <v>40</v>
      </c>
      <c r="K1407" s="1" t="s">
        <v>14</v>
      </c>
      <c r="L1407" s="1" t="s">
        <v>12</v>
      </c>
      <c r="M1407" s="1" t="s">
        <v>12</v>
      </c>
      <c r="N1407" s="1">
        <v>27.12</v>
      </c>
      <c r="O1407" s="1" t="s">
        <v>22</v>
      </c>
      <c r="P1407" s="1">
        <v>-0.05</v>
      </c>
      <c r="Q1407" s="1" t="s">
        <v>16</v>
      </c>
      <c r="R1407" s="1" t="str">
        <f>IF(N1407="","",VLOOKUP(N1407,Prior_levels,2,TRUE))</f>
        <v>M</v>
      </c>
    </row>
    <row r="1408" spans="1:18" x14ac:dyDescent="0.2">
      <c r="A1408" s="1" t="s">
        <v>161</v>
      </c>
      <c r="B1408" s="1" t="s">
        <v>12</v>
      </c>
      <c r="C1408" s="2">
        <v>41155</v>
      </c>
      <c r="D1408" s="1">
        <v>10</v>
      </c>
      <c r="E1408" s="1" t="s">
        <v>42</v>
      </c>
      <c r="I1408" s="1" t="s">
        <v>12</v>
      </c>
      <c r="J1408" s="1" t="s">
        <v>40</v>
      </c>
      <c r="K1408" s="1" t="s">
        <v>14</v>
      </c>
      <c r="L1408" s="1" t="s">
        <v>12</v>
      </c>
      <c r="M1408" s="1" t="s">
        <v>12</v>
      </c>
      <c r="N1408" s="1">
        <v>27.12</v>
      </c>
      <c r="O1408" s="1" t="s">
        <v>23</v>
      </c>
      <c r="P1408" s="1">
        <v>0.36</v>
      </c>
      <c r="Q1408" s="1" t="s">
        <v>16</v>
      </c>
      <c r="R1408" s="1" t="str">
        <f>IF(N1408="","",VLOOKUP(N1408,Prior_levels,2,TRUE))</f>
        <v>M</v>
      </c>
    </row>
    <row r="1409" spans="1:18" x14ac:dyDescent="0.2">
      <c r="A1409" s="1" t="s">
        <v>161</v>
      </c>
      <c r="B1409" s="1" t="s">
        <v>12</v>
      </c>
      <c r="C1409" s="2">
        <v>41155</v>
      </c>
      <c r="D1409" s="1">
        <v>10</v>
      </c>
      <c r="E1409" s="1" t="s">
        <v>42</v>
      </c>
      <c r="I1409" s="1" t="s">
        <v>12</v>
      </c>
      <c r="J1409" s="1" t="s">
        <v>40</v>
      </c>
      <c r="K1409" s="1" t="s">
        <v>14</v>
      </c>
      <c r="L1409" s="1" t="s">
        <v>12</v>
      </c>
      <c r="M1409" s="1" t="s">
        <v>12</v>
      </c>
      <c r="N1409" s="1">
        <v>27.12</v>
      </c>
      <c r="O1409" s="1" t="s">
        <v>25</v>
      </c>
      <c r="P1409" s="1">
        <v>-1.89</v>
      </c>
      <c r="Q1409" s="1" t="s">
        <v>16</v>
      </c>
      <c r="R1409" s="1" t="str">
        <f>IF(N1409="","",VLOOKUP(N1409,Prior_levels,2,TRUE))</f>
        <v>M</v>
      </c>
    </row>
    <row r="1410" spans="1:18" x14ac:dyDescent="0.2">
      <c r="A1410" s="1" t="s">
        <v>161</v>
      </c>
      <c r="B1410" s="1" t="s">
        <v>12</v>
      </c>
      <c r="C1410" s="2">
        <v>41155</v>
      </c>
      <c r="D1410" s="1">
        <v>10</v>
      </c>
      <c r="E1410" s="1" t="s">
        <v>42</v>
      </c>
      <c r="I1410" s="1" t="s">
        <v>12</v>
      </c>
      <c r="J1410" s="1" t="s">
        <v>40</v>
      </c>
      <c r="K1410" s="1" t="s">
        <v>14</v>
      </c>
      <c r="L1410" s="1" t="s">
        <v>12</v>
      </c>
      <c r="M1410" s="1" t="s">
        <v>12</v>
      </c>
      <c r="N1410" s="1">
        <v>27.12</v>
      </c>
      <c r="O1410" s="1" t="s">
        <v>26</v>
      </c>
      <c r="P1410" s="1">
        <v>9</v>
      </c>
      <c r="Q1410" s="1" t="s">
        <v>16</v>
      </c>
      <c r="R1410" s="1" t="str">
        <f>IF(N1410="","",VLOOKUP(N1410,Prior_levels,2,TRUE))</f>
        <v>M</v>
      </c>
    </row>
    <row r="1411" spans="1:18" x14ac:dyDescent="0.2">
      <c r="A1411" s="1" t="s">
        <v>161</v>
      </c>
      <c r="B1411" s="1" t="s">
        <v>12</v>
      </c>
      <c r="C1411" s="2">
        <v>41155</v>
      </c>
      <c r="D1411" s="1">
        <v>10</v>
      </c>
      <c r="E1411" s="1" t="s">
        <v>42</v>
      </c>
      <c r="I1411" s="1" t="s">
        <v>12</v>
      </c>
      <c r="J1411" s="1" t="s">
        <v>40</v>
      </c>
      <c r="K1411" s="1" t="s">
        <v>14</v>
      </c>
      <c r="L1411" s="1" t="s">
        <v>12</v>
      </c>
      <c r="M1411" s="1" t="s">
        <v>12</v>
      </c>
      <c r="N1411" s="1">
        <v>27.12</v>
      </c>
      <c r="O1411" s="1" t="s">
        <v>24</v>
      </c>
      <c r="P1411" s="1">
        <v>0.75</v>
      </c>
      <c r="Q1411" s="1" t="s">
        <v>16</v>
      </c>
      <c r="R1411" s="1" t="str">
        <f>IF(N1411="","",VLOOKUP(N1411,Prior_levels,2,TRUE))</f>
        <v>M</v>
      </c>
    </row>
    <row r="1412" spans="1:18" x14ac:dyDescent="0.2">
      <c r="A1412" s="1" t="s">
        <v>161</v>
      </c>
      <c r="B1412" s="1" t="s">
        <v>12</v>
      </c>
      <c r="C1412" s="2">
        <v>41155</v>
      </c>
      <c r="D1412" s="1">
        <v>10</v>
      </c>
      <c r="E1412" s="1" t="s">
        <v>42</v>
      </c>
      <c r="I1412" s="1" t="s">
        <v>12</v>
      </c>
      <c r="J1412" s="1" t="s">
        <v>40</v>
      </c>
      <c r="K1412" s="1" t="s">
        <v>14</v>
      </c>
      <c r="L1412" s="1" t="s">
        <v>12</v>
      </c>
      <c r="M1412" s="1" t="s">
        <v>12</v>
      </c>
      <c r="N1412" s="1">
        <v>27.12</v>
      </c>
      <c r="O1412" s="1" t="s">
        <v>27</v>
      </c>
      <c r="P1412" s="1" t="s">
        <v>37</v>
      </c>
      <c r="Q1412" s="1" t="s">
        <v>16</v>
      </c>
      <c r="R1412" s="1" t="str">
        <f>IF(N1412="","",VLOOKUP(N1412,Prior_levels,2,TRUE))</f>
        <v>M</v>
      </c>
    </row>
    <row r="1413" spans="1:18" x14ac:dyDescent="0.2">
      <c r="A1413" s="1" t="s">
        <v>161</v>
      </c>
      <c r="B1413" s="1" t="s">
        <v>12</v>
      </c>
      <c r="C1413" s="2">
        <v>41155</v>
      </c>
      <c r="D1413" s="1">
        <v>10</v>
      </c>
      <c r="E1413" s="1" t="s">
        <v>42</v>
      </c>
      <c r="I1413" s="1" t="s">
        <v>12</v>
      </c>
      <c r="J1413" s="1" t="s">
        <v>40</v>
      </c>
      <c r="K1413" s="1" t="s">
        <v>14</v>
      </c>
      <c r="L1413" s="1" t="s">
        <v>12</v>
      </c>
      <c r="M1413" s="1" t="s">
        <v>12</v>
      </c>
      <c r="N1413" s="1">
        <v>27.12</v>
      </c>
      <c r="O1413" s="1" t="s">
        <v>29</v>
      </c>
      <c r="P1413" s="1" t="s">
        <v>37</v>
      </c>
      <c r="Q1413" s="1" t="s">
        <v>16</v>
      </c>
      <c r="R1413" s="1" t="str">
        <f>IF(N1413="","",VLOOKUP(N1413,Prior_levels,2,TRUE))</f>
        <v>M</v>
      </c>
    </row>
    <row r="1414" spans="1:18" x14ac:dyDescent="0.2">
      <c r="A1414" s="1" t="s">
        <v>161</v>
      </c>
      <c r="B1414" s="1" t="s">
        <v>12</v>
      </c>
      <c r="C1414" s="2">
        <v>41155</v>
      </c>
      <c r="D1414" s="1">
        <v>10</v>
      </c>
      <c r="E1414" s="1" t="s">
        <v>42</v>
      </c>
      <c r="I1414" s="1" t="s">
        <v>12</v>
      </c>
      <c r="J1414" s="1" t="s">
        <v>40</v>
      </c>
      <c r="K1414" s="1" t="s">
        <v>14</v>
      </c>
      <c r="L1414" s="1" t="s">
        <v>12</v>
      </c>
      <c r="M1414" s="1" t="s">
        <v>12</v>
      </c>
      <c r="N1414" s="1">
        <v>27.12</v>
      </c>
      <c r="O1414" s="1" t="s">
        <v>30</v>
      </c>
      <c r="P1414" s="1" t="s">
        <v>37</v>
      </c>
      <c r="Q1414" s="1" t="s">
        <v>16</v>
      </c>
      <c r="R1414" s="1" t="str">
        <f>IF(N1414="","",VLOOKUP(N1414,Prior_levels,2,TRUE))</f>
        <v>M</v>
      </c>
    </row>
    <row r="1415" spans="1:18" x14ac:dyDescent="0.2">
      <c r="A1415" s="1" t="s">
        <v>161</v>
      </c>
      <c r="B1415" s="1" t="s">
        <v>12</v>
      </c>
      <c r="C1415" s="2">
        <v>41155</v>
      </c>
      <c r="D1415" s="1">
        <v>10</v>
      </c>
      <c r="E1415" s="1" t="s">
        <v>42</v>
      </c>
      <c r="I1415" s="1" t="s">
        <v>12</v>
      </c>
      <c r="J1415" s="1" t="s">
        <v>40</v>
      </c>
      <c r="K1415" s="1" t="s">
        <v>14</v>
      </c>
      <c r="L1415" s="1" t="s">
        <v>12</v>
      </c>
      <c r="M1415" s="1" t="s">
        <v>12</v>
      </c>
      <c r="N1415" s="1">
        <v>27.12</v>
      </c>
      <c r="O1415" s="1" t="s">
        <v>31</v>
      </c>
      <c r="P1415" s="1" t="s">
        <v>37</v>
      </c>
      <c r="Q1415" s="1" t="s">
        <v>16</v>
      </c>
      <c r="R1415" s="1" t="str">
        <f>IF(N1415="","",VLOOKUP(N1415,Prior_levels,2,TRUE))</f>
        <v>M</v>
      </c>
    </row>
    <row r="1416" spans="1:18" x14ac:dyDescent="0.2">
      <c r="A1416" s="1" t="s">
        <v>161</v>
      </c>
      <c r="B1416" s="1" t="s">
        <v>12</v>
      </c>
      <c r="C1416" s="2">
        <v>41155</v>
      </c>
      <c r="D1416" s="1">
        <v>10</v>
      </c>
      <c r="E1416" s="1" t="s">
        <v>42</v>
      </c>
      <c r="I1416" s="1" t="s">
        <v>12</v>
      </c>
      <c r="J1416" s="1" t="s">
        <v>40</v>
      </c>
      <c r="K1416" s="1" t="s">
        <v>14</v>
      </c>
      <c r="L1416" s="1" t="s">
        <v>12</v>
      </c>
      <c r="M1416" s="1" t="s">
        <v>12</v>
      </c>
      <c r="N1416" s="1">
        <v>27.12</v>
      </c>
      <c r="O1416" s="1" t="s">
        <v>32</v>
      </c>
      <c r="P1416" s="1" t="s">
        <v>37</v>
      </c>
      <c r="Q1416" s="1" t="s">
        <v>16</v>
      </c>
      <c r="R1416" s="1" t="str">
        <f>IF(N1416="","",VLOOKUP(N1416,Prior_levels,2,TRUE))</f>
        <v>M</v>
      </c>
    </row>
    <row r="1417" spans="1:18" x14ac:dyDescent="0.2">
      <c r="A1417" s="1" t="s">
        <v>162</v>
      </c>
      <c r="B1417" s="1" t="s">
        <v>12</v>
      </c>
      <c r="C1417" s="2">
        <v>41155</v>
      </c>
      <c r="D1417" s="1">
        <v>10</v>
      </c>
      <c r="E1417" s="1" t="s">
        <v>39</v>
      </c>
      <c r="I1417" s="1" t="s">
        <v>12</v>
      </c>
      <c r="J1417" s="1" t="s">
        <v>36</v>
      </c>
      <c r="K1417" s="1" t="s">
        <v>14</v>
      </c>
      <c r="L1417" s="1" t="s">
        <v>12</v>
      </c>
      <c r="M1417" s="1" t="s">
        <v>12</v>
      </c>
      <c r="N1417" s="1">
        <v>21.12</v>
      </c>
      <c r="O1417" s="1" t="s">
        <v>15</v>
      </c>
      <c r="P1417" s="1">
        <v>2.5</v>
      </c>
      <c r="Q1417" s="1" t="s">
        <v>16</v>
      </c>
      <c r="R1417" s="1" t="str">
        <f>IF(N1417="","",VLOOKUP(N1417,Prior_levels,2,TRUE))</f>
        <v>L</v>
      </c>
    </row>
    <row r="1418" spans="1:18" x14ac:dyDescent="0.2">
      <c r="A1418" s="1" t="s">
        <v>162</v>
      </c>
      <c r="B1418" s="1" t="s">
        <v>12</v>
      </c>
      <c r="C1418" s="2">
        <v>41155</v>
      </c>
      <c r="D1418" s="1">
        <v>10</v>
      </c>
      <c r="E1418" s="1" t="s">
        <v>39</v>
      </c>
      <c r="I1418" s="1" t="s">
        <v>12</v>
      </c>
      <c r="J1418" s="1" t="s">
        <v>36</v>
      </c>
      <c r="K1418" s="1" t="s">
        <v>14</v>
      </c>
      <c r="L1418" s="1" t="s">
        <v>12</v>
      </c>
      <c r="M1418" s="1" t="s">
        <v>12</v>
      </c>
      <c r="N1418" s="1">
        <v>21.12</v>
      </c>
      <c r="O1418" s="1" t="s">
        <v>17</v>
      </c>
      <c r="P1418" s="1">
        <v>-0.33</v>
      </c>
      <c r="Q1418" s="1" t="s">
        <v>16</v>
      </c>
      <c r="R1418" s="1" t="str">
        <f>IF(N1418="","",VLOOKUP(N1418,Prior_levels,2,TRUE))</f>
        <v>L</v>
      </c>
    </row>
    <row r="1419" spans="1:18" x14ac:dyDescent="0.2">
      <c r="A1419" s="1" t="s">
        <v>162</v>
      </c>
      <c r="B1419" s="1" t="s">
        <v>12</v>
      </c>
      <c r="C1419" s="2">
        <v>41155</v>
      </c>
      <c r="D1419" s="1">
        <v>10</v>
      </c>
      <c r="E1419" s="1" t="s">
        <v>39</v>
      </c>
      <c r="I1419" s="1" t="s">
        <v>12</v>
      </c>
      <c r="J1419" s="1" t="s">
        <v>36</v>
      </c>
      <c r="K1419" s="1" t="s">
        <v>14</v>
      </c>
      <c r="L1419" s="1" t="s">
        <v>12</v>
      </c>
      <c r="M1419" s="1" t="s">
        <v>12</v>
      </c>
      <c r="N1419" s="1">
        <v>21.12</v>
      </c>
      <c r="O1419" s="1" t="s">
        <v>18</v>
      </c>
      <c r="P1419" s="1">
        <v>6</v>
      </c>
      <c r="Q1419" s="1" t="s">
        <v>16</v>
      </c>
      <c r="R1419" s="1" t="str">
        <f>IF(N1419="","",VLOOKUP(N1419,Prior_levels,2,TRUE))</f>
        <v>L</v>
      </c>
    </row>
    <row r="1420" spans="1:18" x14ac:dyDescent="0.2">
      <c r="A1420" s="1" t="s">
        <v>162</v>
      </c>
      <c r="B1420" s="1" t="s">
        <v>12</v>
      </c>
      <c r="C1420" s="2">
        <v>41155</v>
      </c>
      <c r="D1420" s="1">
        <v>10</v>
      </c>
      <c r="E1420" s="1" t="s">
        <v>39</v>
      </c>
      <c r="I1420" s="1" t="s">
        <v>12</v>
      </c>
      <c r="J1420" s="1" t="s">
        <v>36</v>
      </c>
      <c r="K1420" s="1" t="s">
        <v>14</v>
      </c>
      <c r="L1420" s="1" t="s">
        <v>12</v>
      </c>
      <c r="M1420" s="1" t="s">
        <v>12</v>
      </c>
      <c r="N1420" s="1">
        <v>21.12</v>
      </c>
      <c r="O1420" s="1" t="s">
        <v>19</v>
      </c>
      <c r="P1420" s="1">
        <v>6</v>
      </c>
      <c r="Q1420" s="1" t="s">
        <v>16</v>
      </c>
      <c r="R1420" s="1" t="str">
        <f>IF(N1420="","",VLOOKUP(N1420,Prior_levels,2,TRUE))</f>
        <v>L</v>
      </c>
    </row>
    <row r="1421" spans="1:18" x14ac:dyDescent="0.2">
      <c r="A1421" s="1" t="s">
        <v>162</v>
      </c>
      <c r="B1421" s="1" t="s">
        <v>12</v>
      </c>
      <c r="C1421" s="2">
        <v>41155</v>
      </c>
      <c r="D1421" s="1">
        <v>10</v>
      </c>
      <c r="E1421" s="1" t="s">
        <v>39</v>
      </c>
      <c r="I1421" s="1" t="s">
        <v>12</v>
      </c>
      <c r="J1421" s="1" t="s">
        <v>36</v>
      </c>
      <c r="K1421" s="1" t="s">
        <v>14</v>
      </c>
      <c r="L1421" s="1" t="s">
        <v>12</v>
      </c>
      <c r="M1421" s="1" t="s">
        <v>12</v>
      </c>
      <c r="N1421" s="1">
        <v>21.12</v>
      </c>
      <c r="O1421" s="1" t="s">
        <v>20</v>
      </c>
      <c r="P1421" s="1">
        <v>6</v>
      </c>
      <c r="Q1421" s="1" t="s">
        <v>16</v>
      </c>
      <c r="R1421" s="1" t="str">
        <f>IF(N1421="","",VLOOKUP(N1421,Prior_levels,2,TRUE))</f>
        <v>L</v>
      </c>
    </row>
    <row r="1422" spans="1:18" x14ac:dyDescent="0.2">
      <c r="A1422" s="1" t="s">
        <v>162</v>
      </c>
      <c r="B1422" s="1" t="s">
        <v>12</v>
      </c>
      <c r="C1422" s="2">
        <v>41155</v>
      </c>
      <c r="D1422" s="1">
        <v>10</v>
      </c>
      <c r="E1422" s="1" t="s">
        <v>39</v>
      </c>
      <c r="I1422" s="1" t="s">
        <v>12</v>
      </c>
      <c r="J1422" s="1" t="s">
        <v>36</v>
      </c>
      <c r="K1422" s="1" t="s">
        <v>14</v>
      </c>
      <c r="L1422" s="1" t="s">
        <v>12</v>
      </c>
      <c r="M1422" s="1" t="s">
        <v>12</v>
      </c>
      <c r="N1422" s="1">
        <v>21.12</v>
      </c>
      <c r="O1422" s="1" t="s">
        <v>21</v>
      </c>
      <c r="P1422" s="1">
        <v>7</v>
      </c>
      <c r="Q1422" s="1" t="s">
        <v>16</v>
      </c>
      <c r="R1422" s="1" t="str">
        <f>IF(N1422="","",VLOOKUP(N1422,Prior_levels,2,TRUE))</f>
        <v>L</v>
      </c>
    </row>
    <row r="1423" spans="1:18" x14ac:dyDescent="0.2">
      <c r="A1423" s="1" t="s">
        <v>162</v>
      </c>
      <c r="B1423" s="1" t="s">
        <v>12</v>
      </c>
      <c r="C1423" s="2">
        <v>41155</v>
      </c>
      <c r="D1423" s="1">
        <v>10</v>
      </c>
      <c r="E1423" s="1" t="s">
        <v>39</v>
      </c>
      <c r="I1423" s="1" t="s">
        <v>12</v>
      </c>
      <c r="J1423" s="1" t="s">
        <v>36</v>
      </c>
      <c r="K1423" s="1" t="s">
        <v>14</v>
      </c>
      <c r="L1423" s="1" t="s">
        <v>12</v>
      </c>
      <c r="M1423" s="1" t="s">
        <v>12</v>
      </c>
      <c r="N1423" s="1">
        <v>21.12</v>
      </c>
      <c r="O1423" s="1" t="s">
        <v>22</v>
      </c>
      <c r="P1423" s="1">
        <v>-0.66</v>
      </c>
      <c r="Q1423" s="1" t="s">
        <v>16</v>
      </c>
      <c r="R1423" s="1" t="str">
        <f>IF(N1423="","",VLOOKUP(N1423,Prior_levels,2,TRUE))</f>
        <v>L</v>
      </c>
    </row>
    <row r="1424" spans="1:18" x14ac:dyDescent="0.2">
      <c r="A1424" s="1" t="s">
        <v>162</v>
      </c>
      <c r="B1424" s="1" t="s">
        <v>12</v>
      </c>
      <c r="C1424" s="2">
        <v>41155</v>
      </c>
      <c r="D1424" s="1">
        <v>10</v>
      </c>
      <c r="E1424" s="1" t="s">
        <v>39</v>
      </c>
      <c r="I1424" s="1" t="s">
        <v>12</v>
      </c>
      <c r="J1424" s="1" t="s">
        <v>36</v>
      </c>
      <c r="K1424" s="1" t="s">
        <v>14</v>
      </c>
      <c r="L1424" s="1" t="s">
        <v>12</v>
      </c>
      <c r="M1424" s="1" t="s">
        <v>12</v>
      </c>
      <c r="N1424" s="1">
        <v>21.12</v>
      </c>
      <c r="O1424" s="1" t="s">
        <v>23</v>
      </c>
      <c r="P1424" s="1">
        <v>0.39</v>
      </c>
      <c r="Q1424" s="1" t="s">
        <v>16</v>
      </c>
      <c r="R1424" s="1" t="str">
        <f>IF(N1424="","",VLOOKUP(N1424,Prior_levels,2,TRUE))</f>
        <v>L</v>
      </c>
    </row>
    <row r="1425" spans="1:18" x14ac:dyDescent="0.2">
      <c r="A1425" s="1" t="s">
        <v>162</v>
      </c>
      <c r="B1425" s="1" t="s">
        <v>12</v>
      </c>
      <c r="C1425" s="2">
        <v>41155</v>
      </c>
      <c r="D1425" s="1">
        <v>10</v>
      </c>
      <c r="E1425" s="1" t="s">
        <v>39</v>
      </c>
      <c r="I1425" s="1" t="s">
        <v>12</v>
      </c>
      <c r="J1425" s="1" t="s">
        <v>36</v>
      </c>
      <c r="K1425" s="1" t="s">
        <v>14</v>
      </c>
      <c r="L1425" s="1" t="s">
        <v>12</v>
      </c>
      <c r="M1425" s="1" t="s">
        <v>12</v>
      </c>
      <c r="N1425" s="1">
        <v>21.12</v>
      </c>
      <c r="O1425" s="1" t="s">
        <v>24</v>
      </c>
      <c r="P1425" s="1">
        <v>1.49</v>
      </c>
      <c r="Q1425" s="1" t="s">
        <v>16</v>
      </c>
      <c r="R1425" s="1" t="str">
        <f>IF(N1425="","",VLOOKUP(N1425,Prior_levels,2,TRUE))</f>
        <v>L</v>
      </c>
    </row>
    <row r="1426" spans="1:18" x14ac:dyDescent="0.2">
      <c r="A1426" s="1" t="s">
        <v>162</v>
      </c>
      <c r="B1426" s="1" t="s">
        <v>12</v>
      </c>
      <c r="C1426" s="2">
        <v>41155</v>
      </c>
      <c r="D1426" s="1">
        <v>10</v>
      </c>
      <c r="E1426" s="1" t="s">
        <v>39</v>
      </c>
      <c r="I1426" s="1" t="s">
        <v>12</v>
      </c>
      <c r="J1426" s="1" t="s">
        <v>36</v>
      </c>
      <c r="K1426" s="1" t="s">
        <v>14</v>
      </c>
      <c r="L1426" s="1" t="s">
        <v>12</v>
      </c>
      <c r="M1426" s="1" t="s">
        <v>12</v>
      </c>
      <c r="N1426" s="1">
        <v>21.12</v>
      </c>
      <c r="O1426" s="1" t="s">
        <v>25</v>
      </c>
      <c r="P1426" s="1">
        <v>-4.2</v>
      </c>
      <c r="Q1426" s="1" t="s">
        <v>16</v>
      </c>
      <c r="R1426" s="1" t="str">
        <f>IF(N1426="","",VLOOKUP(N1426,Prior_levels,2,TRUE))</f>
        <v>L</v>
      </c>
    </row>
    <row r="1427" spans="1:18" x14ac:dyDescent="0.2">
      <c r="A1427" s="1" t="s">
        <v>162</v>
      </c>
      <c r="B1427" s="1" t="s">
        <v>12</v>
      </c>
      <c r="C1427" s="2">
        <v>41155</v>
      </c>
      <c r="D1427" s="1">
        <v>10</v>
      </c>
      <c r="E1427" s="1" t="s">
        <v>39</v>
      </c>
      <c r="I1427" s="1" t="s">
        <v>12</v>
      </c>
      <c r="J1427" s="1" t="s">
        <v>36</v>
      </c>
      <c r="K1427" s="1" t="s">
        <v>14</v>
      </c>
      <c r="L1427" s="1" t="s">
        <v>12</v>
      </c>
      <c r="M1427" s="1" t="s">
        <v>12</v>
      </c>
      <c r="N1427" s="1">
        <v>21.12</v>
      </c>
      <c r="O1427" s="1" t="s">
        <v>26</v>
      </c>
      <c r="P1427" s="1">
        <v>0</v>
      </c>
      <c r="Q1427" s="1" t="s">
        <v>16</v>
      </c>
      <c r="R1427" s="1" t="str">
        <f>IF(N1427="","",VLOOKUP(N1427,Prior_levels,2,TRUE))</f>
        <v>L</v>
      </c>
    </row>
    <row r="1428" spans="1:18" x14ac:dyDescent="0.2">
      <c r="A1428" s="1" t="s">
        <v>162</v>
      </c>
      <c r="B1428" s="1" t="s">
        <v>12</v>
      </c>
      <c r="C1428" s="2">
        <v>41155</v>
      </c>
      <c r="D1428" s="1">
        <v>10</v>
      </c>
      <c r="E1428" s="1" t="s">
        <v>39</v>
      </c>
      <c r="I1428" s="1" t="s">
        <v>12</v>
      </c>
      <c r="J1428" s="1" t="s">
        <v>36</v>
      </c>
      <c r="K1428" s="1" t="s">
        <v>14</v>
      </c>
      <c r="L1428" s="1" t="s">
        <v>12</v>
      </c>
      <c r="M1428" s="1" t="s">
        <v>12</v>
      </c>
      <c r="N1428" s="1">
        <v>21.12</v>
      </c>
      <c r="O1428" s="1" t="s">
        <v>27</v>
      </c>
      <c r="P1428" s="1" t="s">
        <v>28</v>
      </c>
      <c r="Q1428" s="1" t="s">
        <v>16</v>
      </c>
      <c r="R1428" s="1" t="str">
        <f>IF(N1428="","",VLOOKUP(N1428,Prior_levels,2,TRUE))</f>
        <v>L</v>
      </c>
    </row>
    <row r="1429" spans="1:18" x14ac:dyDescent="0.2">
      <c r="A1429" s="1" t="s">
        <v>162</v>
      </c>
      <c r="B1429" s="1" t="s">
        <v>12</v>
      </c>
      <c r="C1429" s="2">
        <v>41155</v>
      </c>
      <c r="D1429" s="1">
        <v>10</v>
      </c>
      <c r="E1429" s="1" t="s">
        <v>39</v>
      </c>
      <c r="I1429" s="1" t="s">
        <v>12</v>
      </c>
      <c r="J1429" s="1" t="s">
        <v>36</v>
      </c>
      <c r="K1429" s="1" t="s">
        <v>14</v>
      </c>
      <c r="L1429" s="1" t="s">
        <v>12</v>
      </c>
      <c r="M1429" s="1" t="s">
        <v>12</v>
      </c>
      <c r="N1429" s="1">
        <v>21.12</v>
      </c>
      <c r="O1429" s="1" t="s">
        <v>29</v>
      </c>
      <c r="P1429" s="1" t="s">
        <v>28</v>
      </c>
      <c r="Q1429" s="1" t="s">
        <v>16</v>
      </c>
      <c r="R1429" s="1" t="str">
        <f>IF(N1429="","",VLOOKUP(N1429,Prior_levels,2,TRUE))</f>
        <v>L</v>
      </c>
    </row>
    <row r="1430" spans="1:18" x14ac:dyDescent="0.2">
      <c r="A1430" s="1" t="s">
        <v>162</v>
      </c>
      <c r="B1430" s="1" t="s">
        <v>12</v>
      </c>
      <c r="C1430" s="2">
        <v>41155</v>
      </c>
      <c r="D1430" s="1">
        <v>10</v>
      </c>
      <c r="E1430" s="1" t="s">
        <v>39</v>
      </c>
      <c r="I1430" s="1" t="s">
        <v>12</v>
      </c>
      <c r="J1430" s="1" t="s">
        <v>36</v>
      </c>
      <c r="K1430" s="1" t="s">
        <v>14</v>
      </c>
      <c r="L1430" s="1" t="s">
        <v>12</v>
      </c>
      <c r="M1430" s="1" t="s">
        <v>12</v>
      </c>
      <c r="N1430" s="1">
        <v>21.12</v>
      </c>
      <c r="O1430" s="1" t="s">
        <v>30</v>
      </c>
      <c r="P1430" s="1" t="s">
        <v>28</v>
      </c>
      <c r="Q1430" s="1" t="s">
        <v>16</v>
      </c>
      <c r="R1430" s="1" t="str">
        <f>IF(N1430="","",VLOOKUP(N1430,Prior_levels,2,TRUE))</f>
        <v>L</v>
      </c>
    </row>
    <row r="1431" spans="1:18" x14ac:dyDescent="0.2">
      <c r="A1431" s="1" t="s">
        <v>162</v>
      </c>
      <c r="B1431" s="1" t="s">
        <v>12</v>
      </c>
      <c r="C1431" s="2">
        <v>41155</v>
      </c>
      <c r="D1431" s="1">
        <v>10</v>
      </c>
      <c r="E1431" s="1" t="s">
        <v>39</v>
      </c>
      <c r="I1431" s="1" t="s">
        <v>12</v>
      </c>
      <c r="J1431" s="1" t="s">
        <v>36</v>
      </c>
      <c r="K1431" s="1" t="s">
        <v>14</v>
      </c>
      <c r="L1431" s="1" t="s">
        <v>12</v>
      </c>
      <c r="M1431" s="1" t="s">
        <v>12</v>
      </c>
      <c r="N1431" s="1">
        <v>21.12</v>
      </c>
      <c r="O1431" s="1" t="s">
        <v>31</v>
      </c>
      <c r="P1431" s="1" t="s">
        <v>28</v>
      </c>
      <c r="Q1431" s="1" t="s">
        <v>16</v>
      </c>
      <c r="R1431" s="1" t="str">
        <f>IF(N1431="","",VLOOKUP(N1431,Prior_levels,2,TRUE))</f>
        <v>L</v>
      </c>
    </row>
    <row r="1432" spans="1:18" x14ac:dyDescent="0.2">
      <c r="A1432" s="1" t="s">
        <v>162</v>
      </c>
      <c r="B1432" s="1" t="s">
        <v>12</v>
      </c>
      <c r="C1432" s="2">
        <v>41155</v>
      </c>
      <c r="D1432" s="1">
        <v>10</v>
      </c>
      <c r="E1432" s="1" t="s">
        <v>39</v>
      </c>
      <c r="I1432" s="1" t="s">
        <v>12</v>
      </c>
      <c r="J1432" s="1" t="s">
        <v>36</v>
      </c>
      <c r="K1432" s="1" t="s">
        <v>14</v>
      </c>
      <c r="L1432" s="1" t="s">
        <v>12</v>
      </c>
      <c r="M1432" s="1" t="s">
        <v>12</v>
      </c>
      <c r="N1432" s="1">
        <v>21.12</v>
      </c>
      <c r="O1432" s="1" t="s">
        <v>32</v>
      </c>
      <c r="P1432" s="1" t="s">
        <v>28</v>
      </c>
      <c r="Q1432" s="1" t="s">
        <v>16</v>
      </c>
      <c r="R1432" s="1" t="str">
        <f>IF(N1432="","",VLOOKUP(N1432,Prior_levels,2,TRUE))</f>
        <v>L</v>
      </c>
    </row>
    <row r="1433" spans="1:18" x14ac:dyDescent="0.2">
      <c r="A1433" s="1" t="s">
        <v>163</v>
      </c>
      <c r="B1433" s="1" t="s">
        <v>12</v>
      </c>
      <c r="C1433" s="2">
        <v>41155</v>
      </c>
      <c r="D1433" s="1">
        <v>10</v>
      </c>
      <c r="E1433" s="1" t="s">
        <v>39</v>
      </c>
      <c r="I1433" s="1" t="s">
        <v>12</v>
      </c>
      <c r="J1433" s="1" t="s">
        <v>40</v>
      </c>
      <c r="K1433" s="1" t="s">
        <v>14</v>
      </c>
      <c r="L1433" s="1" t="s">
        <v>12</v>
      </c>
      <c r="M1433" s="1" t="s">
        <v>12</v>
      </c>
      <c r="N1433" s="1">
        <v>27.12</v>
      </c>
      <c r="O1433" s="1" t="s">
        <v>15</v>
      </c>
      <c r="P1433" s="1">
        <v>5.0999999999999996</v>
      </c>
      <c r="Q1433" s="1" t="s">
        <v>16</v>
      </c>
      <c r="R1433" s="1" t="str">
        <f>IF(N1433="","",VLOOKUP(N1433,Prior_levels,2,TRUE))</f>
        <v>M</v>
      </c>
    </row>
    <row r="1434" spans="1:18" x14ac:dyDescent="0.2">
      <c r="A1434" s="1" t="s">
        <v>163</v>
      </c>
      <c r="B1434" s="1" t="s">
        <v>12</v>
      </c>
      <c r="C1434" s="2">
        <v>41155</v>
      </c>
      <c r="D1434" s="1">
        <v>10</v>
      </c>
      <c r="E1434" s="1" t="s">
        <v>39</v>
      </c>
      <c r="I1434" s="1" t="s">
        <v>12</v>
      </c>
      <c r="J1434" s="1" t="s">
        <v>40</v>
      </c>
      <c r="K1434" s="1" t="s">
        <v>14</v>
      </c>
      <c r="L1434" s="1" t="s">
        <v>12</v>
      </c>
      <c r="M1434" s="1" t="s">
        <v>12</v>
      </c>
      <c r="N1434" s="1">
        <v>27.12</v>
      </c>
      <c r="O1434" s="1" t="s">
        <v>17</v>
      </c>
      <c r="P1434" s="1">
        <v>0.55000000000000004</v>
      </c>
      <c r="Q1434" s="1" t="s">
        <v>16</v>
      </c>
      <c r="R1434" s="1" t="str">
        <f>IF(N1434="","",VLOOKUP(N1434,Prior_levels,2,TRUE))</f>
        <v>M</v>
      </c>
    </row>
    <row r="1435" spans="1:18" x14ac:dyDescent="0.2">
      <c r="A1435" s="1" t="s">
        <v>163</v>
      </c>
      <c r="B1435" s="1" t="s">
        <v>12</v>
      </c>
      <c r="C1435" s="2">
        <v>41155</v>
      </c>
      <c r="D1435" s="1">
        <v>10</v>
      </c>
      <c r="E1435" s="1" t="s">
        <v>39</v>
      </c>
      <c r="I1435" s="1" t="s">
        <v>12</v>
      </c>
      <c r="J1435" s="1" t="s">
        <v>40</v>
      </c>
      <c r="K1435" s="1" t="s">
        <v>14</v>
      </c>
      <c r="L1435" s="1" t="s">
        <v>12</v>
      </c>
      <c r="M1435" s="1" t="s">
        <v>12</v>
      </c>
      <c r="N1435" s="1">
        <v>27.12</v>
      </c>
      <c r="O1435" s="1" t="s">
        <v>18</v>
      </c>
      <c r="P1435" s="1">
        <v>12</v>
      </c>
      <c r="Q1435" s="1" t="s">
        <v>16</v>
      </c>
      <c r="R1435" s="1" t="str">
        <f>IF(N1435="","",VLOOKUP(N1435,Prior_levels,2,TRUE))</f>
        <v>M</v>
      </c>
    </row>
    <row r="1436" spans="1:18" x14ac:dyDescent="0.2">
      <c r="A1436" s="1" t="s">
        <v>163</v>
      </c>
      <c r="B1436" s="1" t="s">
        <v>12</v>
      </c>
      <c r="C1436" s="2">
        <v>41155</v>
      </c>
      <c r="D1436" s="1">
        <v>10</v>
      </c>
      <c r="E1436" s="1" t="s">
        <v>39</v>
      </c>
      <c r="I1436" s="1" t="s">
        <v>12</v>
      </c>
      <c r="J1436" s="1" t="s">
        <v>40</v>
      </c>
      <c r="K1436" s="1" t="s">
        <v>14</v>
      </c>
      <c r="L1436" s="1" t="s">
        <v>12</v>
      </c>
      <c r="M1436" s="1" t="s">
        <v>12</v>
      </c>
      <c r="N1436" s="1">
        <v>27.12</v>
      </c>
      <c r="O1436" s="1" t="s">
        <v>19</v>
      </c>
      <c r="P1436" s="1">
        <v>10</v>
      </c>
      <c r="Q1436" s="1" t="s">
        <v>16</v>
      </c>
      <c r="R1436" s="1" t="str">
        <f>IF(N1436="","",VLOOKUP(N1436,Prior_levels,2,TRUE))</f>
        <v>M</v>
      </c>
    </row>
    <row r="1437" spans="1:18" x14ac:dyDescent="0.2">
      <c r="A1437" s="1" t="s">
        <v>163</v>
      </c>
      <c r="B1437" s="1" t="s">
        <v>12</v>
      </c>
      <c r="C1437" s="2">
        <v>41155</v>
      </c>
      <c r="D1437" s="1">
        <v>10</v>
      </c>
      <c r="E1437" s="1" t="s">
        <v>39</v>
      </c>
      <c r="I1437" s="1" t="s">
        <v>12</v>
      </c>
      <c r="J1437" s="1" t="s">
        <v>40</v>
      </c>
      <c r="K1437" s="1" t="s">
        <v>14</v>
      </c>
      <c r="L1437" s="1" t="s">
        <v>12</v>
      </c>
      <c r="M1437" s="1" t="s">
        <v>12</v>
      </c>
      <c r="N1437" s="1">
        <v>27.12</v>
      </c>
      <c r="O1437" s="1" t="s">
        <v>20</v>
      </c>
      <c r="P1437" s="1">
        <v>13.5</v>
      </c>
      <c r="Q1437" s="1" t="s">
        <v>16</v>
      </c>
      <c r="R1437" s="1" t="str">
        <f>IF(N1437="","",VLOOKUP(N1437,Prior_levels,2,TRUE))</f>
        <v>M</v>
      </c>
    </row>
    <row r="1438" spans="1:18" x14ac:dyDescent="0.2">
      <c r="A1438" s="1" t="s">
        <v>163</v>
      </c>
      <c r="B1438" s="1" t="s">
        <v>12</v>
      </c>
      <c r="C1438" s="2">
        <v>41155</v>
      </c>
      <c r="D1438" s="1">
        <v>10</v>
      </c>
      <c r="E1438" s="1" t="s">
        <v>39</v>
      </c>
      <c r="I1438" s="1" t="s">
        <v>12</v>
      </c>
      <c r="J1438" s="1" t="s">
        <v>40</v>
      </c>
      <c r="K1438" s="1" t="s">
        <v>14</v>
      </c>
      <c r="L1438" s="1" t="s">
        <v>12</v>
      </c>
      <c r="M1438" s="1" t="s">
        <v>12</v>
      </c>
      <c r="N1438" s="1">
        <v>27.12</v>
      </c>
      <c r="O1438" s="1" t="s">
        <v>21</v>
      </c>
      <c r="P1438" s="1">
        <v>15.5</v>
      </c>
      <c r="Q1438" s="1" t="s">
        <v>16</v>
      </c>
      <c r="R1438" s="1" t="str">
        <f>IF(N1438="","",VLOOKUP(N1438,Prior_levels,2,TRUE))</f>
        <v>M</v>
      </c>
    </row>
    <row r="1439" spans="1:18" x14ac:dyDescent="0.2">
      <c r="A1439" s="1" t="s">
        <v>163</v>
      </c>
      <c r="B1439" s="1" t="s">
        <v>12</v>
      </c>
      <c r="C1439" s="2">
        <v>41155</v>
      </c>
      <c r="D1439" s="1">
        <v>10</v>
      </c>
      <c r="E1439" s="1" t="s">
        <v>39</v>
      </c>
      <c r="I1439" s="1" t="s">
        <v>12</v>
      </c>
      <c r="J1439" s="1" t="s">
        <v>40</v>
      </c>
      <c r="K1439" s="1" t="s">
        <v>14</v>
      </c>
      <c r="L1439" s="1" t="s">
        <v>12</v>
      </c>
      <c r="M1439" s="1" t="s">
        <v>12</v>
      </c>
      <c r="N1439" s="1">
        <v>27.12</v>
      </c>
      <c r="O1439" s="1" t="s">
        <v>22</v>
      </c>
      <c r="P1439" s="1">
        <v>0.95</v>
      </c>
      <c r="Q1439" s="1" t="s">
        <v>16</v>
      </c>
      <c r="R1439" s="1" t="str">
        <f>IF(N1439="","",VLOOKUP(N1439,Prior_levels,2,TRUE))</f>
        <v>M</v>
      </c>
    </row>
    <row r="1440" spans="1:18" x14ac:dyDescent="0.2">
      <c r="A1440" s="1" t="s">
        <v>163</v>
      </c>
      <c r="B1440" s="1" t="s">
        <v>12</v>
      </c>
      <c r="C1440" s="2">
        <v>41155</v>
      </c>
      <c r="D1440" s="1">
        <v>10</v>
      </c>
      <c r="E1440" s="1" t="s">
        <v>39</v>
      </c>
      <c r="I1440" s="1" t="s">
        <v>12</v>
      </c>
      <c r="J1440" s="1" t="s">
        <v>40</v>
      </c>
      <c r="K1440" s="1" t="s">
        <v>14</v>
      </c>
      <c r="L1440" s="1" t="s">
        <v>12</v>
      </c>
      <c r="M1440" s="1" t="s">
        <v>12</v>
      </c>
      <c r="N1440" s="1">
        <v>27.12</v>
      </c>
      <c r="O1440" s="1" t="s">
        <v>23</v>
      </c>
      <c r="P1440" s="1">
        <v>0.36</v>
      </c>
      <c r="Q1440" s="1" t="s">
        <v>16</v>
      </c>
      <c r="R1440" s="1" t="str">
        <f>IF(N1440="","",VLOOKUP(N1440,Prior_levels,2,TRUE))</f>
        <v>M</v>
      </c>
    </row>
    <row r="1441" spans="1:18" x14ac:dyDescent="0.2">
      <c r="A1441" s="1" t="s">
        <v>163</v>
      </c>
      <c r="B1441" s="1" t="s">
        <v>12</v>
      </c>
      <c r="C1441" s="2">
        <v>41155</v>
      </c>
      <c r="D1441" s="1">
        <v>10</v>
      </c>
      <c r="E1441" s="1" t="s">
        <v>39</v>
      </c>
      <c r="I1441" s="1" t="s">
        <v>12</v>
      </c>
      <c r="J1441" s="1" t="s">
        <v>40</v>
      </c>
      <c r="K1441" s="1" t="s">
        <v>14</v>
      </c>
      <c r="L1441" s="1" t="s">
        <v>12</v>
      </c>
      <c r="M1441" s="1" t="s">
        <v>12</v>
      </c>
      <c r="N1441" s="1">
        <v>27.12</v>
      </c>
      <c r="O1441" s="1" t="s">
        <v>25</v>
      </c>
      <c r="P1441" s="1">
        <v>0.61</v>
      </c>
      <c r="Q1441" s="1" t="s">
        <v>16</v>
      </c>
      <c r="R1441" s="1" t="str">
        <f>IF(N1441="","",VLOOKUP(N1441,Prior_levels,2,TRUE))</f>
        <v>M</v>
      </c>
    </row>
    <row r="1442" spans="1:18" x14ac:dyDescent="0.2">
      <c r="A1442" s="1" t="s">
        <v>163</v>
      </c>
      <c r="B1442" s="1" t="s">
        <v>12</v>
      </c>
      <c r="C1442" s="2">
        <v>41155</v>
      </c>
      <c r="D1442" s="1">
        <v>10</v>
      </c>
      <c r="E1442" s="1" t="s">
        <v>39</v>
      </c>
      <c r="I1442" s="1" t="s">
        <v>12</v>
      </c>
      <c r="J1442" s="1" t="s">
        <v>40</v>
      </c>
      <c r="K1442" s="1" t="s">
        <v>14</v>
      </c>
      <c r="L1442" s="1" t="s">
        <v>12</v>
      </c>
      <c r="M1442" s="1" t="s">
        <v>12</v>
      </c>
      <c r="N1442" s="1">
        <v>27.12</v>
      </c>
      <c r="O1442" s="1" t="s">
        <v>26</v>
      </c>
      <c r="P1442" s="1">
        <v>8</v>
      </c>
      <c r="Q1442" s="1" t="s">
        <v>16</v>
      </c>
      <c r="R1442" s="1" t="str">
        <f>IF(N1442="","",VLOOKUP(N1442,Prior_levels,2,TRUE))</f>
        <v>M</v>
      </c>
    </row>
    <row r="1443" spans="1:18" x14ac:dyDescent="0.2">
      <c r="A1443" s="1" t="s">
        <v>163</v>
      </c>
      <c r="B1443" s="1" t="s">
        <v>12</v>
      </c>
      <c r="C1443" s="2">
        <v>41155</v>
      </c>
      <c r="D1443" s="1">
        <v>10</v>
      </c>
      <c r="E1443" s="1" t="s">
        <v>39</v>
      </c>
      <c r="I1443" s="1" t="s">
        <v>12</v>
      </c>
      <c r="J1443" s="1" t="s">
        <v>40</v>
      </c>
      <c r="K1443" s="1" t="s">
        <v>14</v>
      </c>
      <c r="L1443" s="1" t="s">
        <v>12</v>
      </c>
      <c r="M1443" s="1" t="s">
        <v>12</v>
      </c>
      <c r="N1443" s="1">
        <v>27.12</v>
      </c>
      <c r="O1443" s="1" t="s">
        <v>24</v>
      </c>
      <c r="P1443" s="1">
        <v>2.25</v>
      </c>
      <c r="Q1443" s="1" t="s">
        <v>16</v>
      </c>
      <c r="R1443" s="1" t="str">
        <f>IF(N1443="","",VLOOKUP(N1443,Prior_levels,2,TRUE))</f>
        <v>M</v>
      </c>
    </row>
    <row r="1444" spans="1:18" x14ac:dyDescent="0.2">
      <c r="A1444" s="1" t="s">
        <v>163</v>
      </c>
      <c r="B1444" s="1" t="s">
        <v>12</v>
      </c>
      <c r="C1444" s="2">
        <v>41155</v>
      </c>
      <c r="D1444" s="1">
        <v>10</v>
      </c>
      <c r="E1444" s="1" t="s">
        <v>39</v>
      </c>
      <c r="I1444" s="1" t="s">
        <v>12</v>
      </c>
      <c r="J1444" s="1" t="s">
        <v>40</v>
      </c>
      <c r="K1444" s="1" t="s">
        <v>14</v>
      </c>
      <c r="L1444" s="1" t="s">
        <v>12</v>
      </c>
      <c r="M1444" s="1" t="s">
        <v>12</v>
      </c>
      <c r="N1444" s="1">
        <v>27.12</v>
      </c>
      <c r="O1444" s="1" t="s">
        <v>27</v>
      </c>
      <c r="P1444" s="1" t="s">
        <v>37</v>
      </c>
      <c r="Q1444" s="1" t="s">
        <v>16</v>
      </c>
      <c r="R1444" s="1" t="str">
        <f>IF(N1444="","",VLOOKUP(N1444,Prior_levels,2,TRUE))</f>
        <v>M</v>
      </c>
    </row>
    <row r="1445" spans="1:18" x14ac:dyDescent="0.2">
      <c r="A1445" s="1" t="s">
        <v>163</v>
      </c>
      <c r="B1445" s="1" t="s">
        <v>12</v>
      </c>
      <c r="C1445" s="2">
        <v>41155</v>
      </c>
      <c r="D1445" s="1">
        <v>10</v>
      </c>
      <c r="E1445" s="1" t="s">
        <v>39</v>
      </c>
      <c r="I1445" s="1" t="s">
        <v>12</v>
      </c>
      <c r="J1445" s="1" t="s">
        <v>40</v>
      </c>
      <c r="K1445" s="1" t="s">
        <v>14</v>
      </c>
      <c r="L1445" s="1" t="s">
        <v>12</v>
      </c>
      <c r="M1445" s="1" t="s">
        <v>12</v>
      </c>
      <c r="N1445" s="1">
        <v>27.12</v>
      </c>
      <c r="O1445" s="1" t="s">
        <v>29</v>
      </c>
      <c r="P1445" s="1" t="s">
        <v>37</v>
      </c>
      <c r="Q1445" s="1" t="s">
        <v>16</v>
      </c>
      <c r="R1445" s="1" t="str">
        <f>IF(N1445="","",VLOOKUP(N1445,Prior_levels,2,TRUE))</f>
        <v>M</v>
      </c>
    </row>
    <row r="1446" spans="1:18" x14ac:dyDescent="0.2">
      <c r="A1446" s="1" t="s">
        <v>163</v>
      </c>
      <c r="B1446" s="1" t="s">
        <v>12</v>
      </c>
      <c r="C1446" s="2">
        <v>41155</v>
      </c>
      <c r="D1446" s="1">
        <v>10</v>
      </c>
      <c r="E1446" s="1" t="s">
        <v>39</v>
      </c>
      <c r="I1446" s="1" t="s">
        <v>12</v>
      </c>
      <c r="J1446" s="1" t="s">
        <v>40</v>
      </c>
      <c r="K1446" s="1" t="s">
        <v>14</v>
      </c>
      <c r="L1446" s="1" t="s">
        <v>12</v>
      </c>
      <c r="M1446" s="1" t="s">
        <v>12</v>
      </c>
      <c r="N1446" s="1">
        <v>27.12</v>
      </c>
      <c r="O1446" s="1" t="s">
        <v>30</v>
      </c>
      <c r="P1446" s="1" t="s">
        <v>37</v>
      </c>
      <c r="Q1446" s="1" t="s">
        <v>16</v>
      </c>
      <c r="R1446" s="1" t="str">
        <f>IF(N1446="","",VLOOKUP(N1446,Prior_levels,2,TRUE))</f>
        <v>M</v>
      </c>
    </row>
    <row r="1447" spans="1:18" x14ac:dyDescent="0.2">
      <c r="A1447" s="1" t="s">
        <v>163</v>
      </c>
      <c r="B1447" s="1" t="s">
        <v>12</v>
      </c>
      <c r="C1447" s="2">
        <v>41155</v>
      </c>
      <c r="D1447" s="1">
        <v>10</v>
      </c>
      <c r="E1447" s="1" t="s">
        <v>39</v>
      </c>
      <c r="I1447" s="1" t="s">
        <v>12</v>
      </c>
      <c r="J1447" s="1" t="s">
        <v>40</v>
      </c>
      <c r="K1447" s="1" t="s">
        <v>14</v>
      </c>
      <c r="L1447" s="1" t="s">
        <v>12</v>
      </c>
      <c r="M1447" s="1" t="s">
        <v>12</v>
      </c>
      <c r="N1447" s="1">
        <v>27.12</v>
      </c>
      <c r="O1447" s="1" t="s">
        <v>31</v>
      </c>
      <c r="P1447" s="1" t="s">
        <v>28</v>
      </c>
      <c r="Q1447" s="1" t="s">
        <v>16</v>
      </c>
      <c r="R1447" s="1" t="str">
        <f>IF(N1447="","",VLOOKUP(N1447,Prior_levels,2,TRUE))</f>
        <v>M</v>
      </c>
    </row>
    <row r="1448" spans="1:18" x14ac:dyDescent="0.2">
      <c r="A1448" s="1" t="s">
        <v>163</v>
      </c>
      <c r="B1448" s="1" t="s">
        <v>12</v>
      </c>
      <c r="C1448" s="2">
        <v>41155</v>
      </c>
      <c r="D1448" s="1">
        <v>10</v>
      </c>
      <c r="E1448" s="1" t="s">
        <v>39</v>
      </c>
      <c r="I1448" s="1" t="s">
        <v>12</v>
      </c>
      <c r="J1448" s="1" t="s">
        <v>40</v>
      </c>
      <c r="K1448" s="1" t="s">
        <v>14</v>
      </c>
      <c r="L1448" s="1" t="s">
        <v>12</v>
      </c>
      <c r="M1448" s="1" t="s">
        <v>12</v>
      </c>
      <c r="N1448" s="1">
        <v>27.12</v>
      </c>
      <c r="O1448" s="1" t="s">
        <v>32</v>
      </c>
      <c r="P1448" s="1" t="s">
        <v>37</v>
      </c>
      <c r="Q1448" s="1" t="s">
        <v>16</v>
      </c>
      <c r="R1448" s="1" t="str">
        <f>IF(N1448="","",VLOOKUP(N1448,Prior_levels,2,TRUE))</f>
        <v>M</v>
      </c>
    </row>
    <row r="1449" spans="1:18" x14ac:dyDescent="0.2">
      <c r="A1449" s="1" t="s">
        <v>164</v>
      </c>
      <c r="B1449" s="1" t="s">
        <v>12</v>
      </c>
      <c r="C1449" s="2">
        <v>41155</v>
      </c>
      <c r="D1449" s="1">
        <v>10</v>
      </c>
      <c r="E1449" s="1" t="s">
        <v>34</v>
      </c>
      <c r="I1449" s="1" t="s">
        <v>12</v>
      </c>
      <c r="J1449" s="1" t="s">
        <v>74</v>
      </c>
      <c r="K1449" s="1" t="s">
        <v>14</v>
      </c>
      <c r="L1449" s="1" t="s">
        <v>12</v>
      </c>
      <c r="M1449" s="1" t="s">
        <v>12</v>
      </c>
      <c r="N1449" s="1">
        <v>33.18</v>
      </c>
      <c r="O1449" s="1" t="s">
        <v>15</v>
      </c>
      <c r="P1449" s="1">
        <v>6</v>
      </c>
      <c r="Q1449" s="1" t="s">
        <v>16</v>
      </c>
      <c r="R1449" s="1" t="str">
        <f>IF(N1449="","",VLOOKUP(N1449,Prior_levels,2,TRUE))</f>
        <v>H</v>
      </c>
    </row>
    <row r="1450" spans="1:18" x14ac:dyDescent="0.2">
      <c r="A1450" s="1" t="s">
        <v>164</v>
      </c>
      <c r="B1450" s="1" t="s">
        <v>12</v>
      </c>
      <c r="C1450" s="2">
        <v>41155</v>
      </c>
      <c r="D1450" s="1">
        <v>10</v>
      </c>
      <c r="E1450" s="1" t="s">
        <v>34</v>
      </c>
      <c r="I1450" s="1" t="s">
        <v>12</v>
      </c>
      <c r="J1450" s="1" t="s">
        <v>74</v>
      </c>
      <c r="K1450" s="1" t="s">
        <v>14</v>
      </c>
      <c r="L1450" s="1" t="s">
        <v>12</v>
      </c>
      <c r="M1450" s="1" t="s">
        <v>12</v>
      </c>
      <c r="N1450" s="1">
        <v>33.18</v>
      </c>
      <c r="O1450" s="1" t="s">
        <v>17</v>
      </c>
      <c r="P1450" s="1">
        <v>-0.55000000000000004</v>
      </c>
      <c r="Q1450" s="1" t="s">
        <v>16</v>
      </c>
      <c r="R1450" s="1" t="str">
        <f>IF(N1450="","",VLOOKUP(N1450,Prior_levels,2,TRUE))</f>
        <v>H</v>
      </c>
    </row>
    <row r="1451" spans="1:18" x14ac:dyDescent="0.2">
      <c r="A1451" s="1" t="s">
        <v>164</v>
      </c>
      <c r="B1451" s="1" t="s">
        <v>12</v>
      </c>
      <c r="C1451" s="2">
        <v>41155</v>
      </c>
      <c r="D1451" s="1">
        <v>10</v>
      </c>
      <c r="E1451" s="1" t="s">
        <v>34</v>
      </c>
      <c r="I1451" s="1" t="s">
        <v>12</v>
      </c>
      <c r="J1451" s="1" t="s">
        <v>74</v>
      </c>
      <c r="K1451" s="1" t="s">
        <v>14</v>
      </c>
      <c r="L1451" s="1" t="s">
        <v>12</v>
      </c>
      <c r="M1451" s="1" t="s">
        <v>12</v>
      </c>
      <c r="N1451" s="1">
        <v>33.18</v>
      </c>
      <c r="O1451" s="1" t="s">
        <v>18</v>
      </c>
      <c r="P1451" s="1">
        <v>14</v>
      </c>
      <c r="Q1451" s="1" t="s">
        <v>16</v>
      </c>
      <c r="R1451" s="1" t="str">
        <f>IF(N1451="","",VLOOKUP(N1451,Prior_levels,2,TRUE))</f>
        <v>H</v>
      </c>
    </row>
    <row r="1452" spans="1:18" x14ac:dyDescent="0.2">
      <c r="A1452" s="1" t="s">
        <v>164</v>
      </c>
      <c r="B1452" s="1" t="s">
        <v>12</v>
      </c>
      <c r="C1452" s="2">
        <v>41155</v>
      </c>
      <c r="D1452" s="1">
        <v>10</v>
      </c>
      <c r="E1452" s="1" t="s">
        <v>34</v>
      </c>
      <c r="I1452" s="1" t="s">
        <v>12</v>
      </c>
      <c r="J1452" s="1" t="s">
        <v>74</v>
      </c>
      <c r="K1452" s="1" t="s">
        <v>14</v>
      </c>
      <c r="L1452" s="1" t="s">
        <v>12</v>
      </c>
      <c r="M1452" s="1" t="s">
        <v>12</v>
      </c>
      <c r="N1452" s="1">
        <v>33.18</v>
      </c>
      <c r="O1452" s="1" t="s">
        <v>19</v>
      </c>
      <c r="P1452" s="1">
        <v>10</v>
      </c>
      <c r="Q1452" s="1" t="s">
        <v>16</v>
      </c>
      <c r="R1452" s="1" t="str">
        <f>IF(N1452="","",VLOOKUP(N1452,Prior_levels,2,TRUE))</f>
        <v>H</v>
      </c>
    </row>
    <row r="1453" spans="1:18" x14ac:dyDescent="0.2">
      <c r="A1453" s="1" t="s">
        <v>164</v>
      </c>
      <c r="B1453" s="1" t="s">
        <v>12</v>
      </c>
      <c r="C1453" s="2">
        <v>41155</v>
      </c>
      <c r="D1453" s="1">
        <v>10</v>
      </c>
      <c r="E1453" s="1" t="s">
        <v>34</v>
      </c>
      <c r="I1453" s="1" t="s">
        <v>12</v>
      </c>
      <c r="J1453" s="1" t="s">
        <v>74</v>
      </c>
      <c r="K1453" s="1" t="s">
        <v>14</v>
      </c>
      <c r="L1453" s="1" t="s">
        <v>12</v>
      </c>
      <c r="M1453" s="1" t="s">
        <v>12</v>
      </c>
      <c r="N1453" s="1">
        <v>33.18</v>
      </c>
      <c r="O1453" s="1" t="s">
        <v>20</v>
      </c>
      <c r="P1453" s="1">
        <v>15</v>
      </c>
      <c r="Q1453" s="1" t="s">
        <v>16</v>
      </c>
      <c r="R1453" s="1" t="str">
        <f>IF(N1453="","",VLOOKUP(N1453,Prior_levels,2,TRUE))</f>
        <v>H</v>
      </c>
    </row>
    <row r="1454" spans="1:18" x14ac:dyDescent="0.2">
      <c r="A1454" s="1" t="s">
        <v>164</v>
      </c>
      <c r="B1454" s="1" t="s">
        <v>12</v>
      </c>
      <c r="C1454" s="2">
        <v>41155</v>
      </c>
      <c r="D1454" s="1">
        <v>10</v>
      </c>
      <c r="E1454" s="1" t="s">
        <v>34</v>
      </c>
      <c r="I1454" s="1" t="s">
        <v>12</v>
      </c>
      <c r="J1454" s="1" t="s">
        <v>74</v>
      </c>
      <c r="K1454" s="1" t="s">
        <v>14</v>
      </c>
      <c r="L1454" s="1" t="s">
        <v>12</v>
      </c>
      <c r="M1454" s="1" t="s">
        <v>12</v>
      </c>
      <c r="N1454" s="1">
        <v>33.18</v>
      </c>
      <c r="O1454" s="1" t="s">
        <v>21</v>
      </c>
      <c r="P1454" s="1">
        <v>21</v>
      </c>
      <c r="Q1454" s="1" t="s">
        <v>16</v>
      </c>
      <c r="R1454" s="1" t="str">
        <f>IF(N1454="","",VLOOKUP(N1454,Prior_levels,2,TRUE))</f>
        <v>H</v>
      </c>
    </row>
    <row r="1455" spans="1:18" x14ac:dyDescent="0.2">
      <c r="A1455" s="1" t="s">
        <v>164</v>
      </c>
      <c r="B1455" s="1" t="s">
        <v>12</v>
      </c>
      <c r="C1455" s="2">
        <v>41155</v>
      </c>
      <c r="D1455" s="1">
        <v>10</v>
      </c>
      <c r="E1455" s="1" t="s">
        <v>34</v>
      </c>
      <c r="I1455" s="1" t="s">
        <v>12</v>
      </c>
      <c r="J1455" s="1" t="s">
        <v>74</v>
      </c>
      <c r="K1455" s="1" t="s">
        <v>14</v>
      </c>
      <c r="L1455" s="1" t="s">
        <v>12</v>
      </c>
      <c r="M1455" s="1" t="s">
        <v>12</v>
      </c>
      <c r="N1455" s="1">
        <v>33.18</v>
      </c>
      <c r="O1455" s="1" t="s">
        <v>22</v>
      </c>
      <c r="P1455" s="1">
        <v>0.36</v>
      </c>
      <c r="Q1455" s="1" t="s">
        <v>16</v>
      </c>
      <c r="R1455" s="1" t="str">
        <f>IF(N1455="","",VLOOKUP(N1455,Prior_levels,2,TRUE))</f>
        <v>H</v>
      </c>
    </row>
    <row r="1456" spans="1:18" x14ac:dyDescent="0.2">
      <c r="A1456" s="1" t="s">
        <v>164</v>
      </c>
      <c r="B1456" s="1" t="s">
        <v>12</v>
      </c>
      <c r="C1456" s="2">
        <v>41155</v>
      </c>
      <c r="D1456" s="1">
        <v>10</v>
      </c>
      <c r="E1456" s="1" t="s">
        <v>34</v>
      </c>
      <c r="I1456" s="1" t="s">
        <v>12</v>
      </c>
      <c r="J1456" s="1" t="s">
        <v>74</v>
      </c>
      <c r="K1456" s="1" t="s">
        <v>14</v>
      </c>
      <c r="L1456" s="1" t="s">
        <v>12</v>
      </c>
      <c r="M1456" s="1" t="s">
        <v>12</v>
      </c>
      <c r="N1456" s="1">
        <v>33.18</v>
      </c>
      <c r="O1456" s="1" t="s">
        <v>23</v>
      </c>
      <c r="P1456" s="1">
        <v>-1.66</v>
      </c>
      <c r="Q1456" s="1" t="s">
        <v>16</v>
      </c>
      <c r="R1456" s="1" t="str">
        <f>IF(N1456="","",VLOOKUP(N1456,Prior_levels,2,TRUE))</f>
        <v>H</v>
      </c>
    </row>
    <row r="1457" spans="1:18" x14ac:dyDescent="0.2">
      <c r="A1457" s="1" t="s">
        <v>164</v>
      </c>
      <c r="B1457" s="1" t="s">
        <v>12</v>
      </c>
      <c r="C1457" s="2">
        <v>41155</v>
      </c>
      <c r="D1457" s="1">
        <v>10</v>
      </c>
      <c r="E1457" s="1" t="s">
        <v>34</v>
      </c>
      <c r="I1457" s="1" t="s">
        <v>12</v>
      </c>
      <c r="J1457" s="1" t="s">
        <v>74</v>
      </c>
      <c r="K1457" s="1" t="s">
        <v>14</v>
      </c>
      <c r="L1457" s="1" t="s">
        <v>12</v>
      </c>
      <c r="M1457" s="1" t="s">
        <v>12</v>
      </c>
      <c r="N1457" s="1">
        <v>33.18</v>
      </c>
      <c r="O1457" s="1" t="s">
        <v>24</v>
      </c>
      <c r="P1457" s="1">
        <v>-4.2699999999999996</v>
      </c>
      <c r="Q1457" s="1" t="s">
        <v>16</v>
      </c>
      <c r="R1457" s="1" t="str">
        <f>IF(N1457="","",VLOOKUP(N1457,Prior_levels,2,TRUE))</f>
        <v>H</v>
      </c>
    </row>
    <row r="1458" spans="1:18" x14ac:dyDescent="0.2">
      <c r="A1458" s="1" t="s">
        <v>164</v>
      </c>
      <c r="B1458" s="1" t="s">
        <v>12</v>
      </c>
      <c r="C1458" s="2">
        <v>41155</v>
      </c>
      <c r="D1458" s="1">
        <v>10</v>
      </c>
      <c r="E1458" s="1" t="s">
        <v>34</v>
      </c>
      <c r="I1458" s="1" t="s">
        <v>12</v>
      </c>
      <c r="J1458" s="1" t="s">
        <v>74</v>
      </c>
      <c r="K1458" s="1" t="s">
        <v>14</v>
      </c>
      <c r="L1458" s="1" t="s">
        <v>12</v>
      </c>
      <c r="M1458" s="1" t="s">
        <v>12</v>
      </c>
      <c r="N1458" s="1">
        <v>33.18</v>
      </c>
      <c r="O1458" s="1" t="s">
        <v>25</v>
      </c>
      <c r="P1458" s="1">
        <v>1.38</v>
      </c>
      <c r="Q1458" s="1" t="s">
        <v>16</v>
      </c>
      <c r="R1458" s="1" t="str">
        <f>IF(N1458="","",VLOOKUP(N1458,Prior_levels,2,TRUE))</f>
        <v>H</v>
      </c>
    </row>
    <row r="1459" spans="1:18" x14ac:dyDescent="0.2">
      <c r="A1459" s="1" t="s">
        <v>164</v>
      </c>
      <c r="B1459" s="1" t="s">
        <v>12</v>
      </c>
      <c r="C1459" s="2">
        <v>41155</v>
      </c>
      <c r="D1459" s="1">
        <v>10</v>
      </c>
      <c r="E1459" s="1" t="s">
        <v>34</v>
      </c>
      <c r="I1459" s="1" t="s">
        <v>12</v>
      </c>
      <c r="J1459" s="1" t="s">
        <v>74</v>
      </c>
      <c r="K1459" s="1" t="s">
        <v>14</v>
      </c>
      <c r="L1459" s="1" t="s">
        <v>12</v>
      </c>
      <c r="M1459" s="1" t="s">
        <v>12</v>
      </c>
      <c r="N1459" s="1">
        <v>33.18</v>
      </c>
      <c r="O1459" s="1" t="s">
        <v>26</v>
      </c>
      <c r="P1459" s="1">
        <v>8</v>
      </c>
      <c r="Q1459" s="1" t="s">
        <v>16</v>
      </c>
      <c r="R1459" s="1" t="str">
        <f>IF(N1459="","",VLOOKUP(N1459,Prior_levels,2,TRUE))</f>
        <v>H</v>
      </c>
    </row>
    <row r="1460" spans="1:18" x14ac:dyDescent="0.2">
      <c r="A1460" s="1" t="s">
        <v>164</v>
      </c>
      <c r="B1460" s="1" t="s">
        <v>12</v>
      </c>
      <c r="C1460" s="2">
        <v>41155</v>
      </c>
      <c r="D1460" s="1">
        <v>10</v>
      </c>
      <c r="E1460" s="1" t="s">
        <v>34</v>
      </c>
      <c r="I1460" s="1" t="s">
        <v>12</v>
      </c>
      <c r="J1460" s="1" t="s">
        <v>74</v>
      </c>
      <c r="K1460" s="1" t="s">
        <v>14</v>
      </c>
      <c r="L1460" s="1" t="s">
        <v>12</v>
      </c>
      <c r="M1460" s="1" t="s">
        <v>12</v>
      </c>
      <c r="N1460" s="1">
        <v>33.18</v>
      </c>
      <c r="O1460" s="1" t="s">
        <v>27</v>
      </c>
      <c r="P1460" s="1" t="s">
        <v>37</v>
      </c>
      <c r="Q1460" s="1" t="s">
        <v>16</v>
      </c>
      <c r="R1460" s="1" t="str">
        <f>IF(N1460="","",VLOOKUP(N1460,Prior_levels,2,TRUE))</f>
        <v>H</v>
      </c>
    </row>
    <row r="1461" spans="1:18" x14ac:dyDescent="0.2">
      <c r="A1461" s="1" t="s">
        <v>164</v>
      </c>
      <c r="B1461" s="1" t="s">
        <v>12</v>
      </c>
      <c r="C1461" s="2">
        <v>41155</v>
      </c>
      <c r="D1461" s="1">
        <v>10</v>
      </c>
      <c r="E1461" s="1" t="s">
        <v>34</v>
      </c>
      <c r="I1461" s="1" t="s">
        <v>12</v>
      </c>
      <c r="J1461" s="1" t="s">
        <v>74</v>
      </c>
      <c r="K1461" s="1" t="s">
        <v>14</v>
      </c>
      <c r="L1461" s="1" t="s">
        <v>12</v>
      </c>
      <c r="M1461" s="1" t="s">
        <v>12</v>
      </c>
      <c r="N1461" s="1">
        <v>33.18</v>
      </c>
      <c r="O1461" s="1" t="s">
        <v>29</v>
      </c>
      <c r="P1461" s="1" t="s">
        <v>37</v>
      </c>
      <c r="Q1461" s="1" t="s">
        <v>16</v>
      </c>
      <c r="R1461" s="1" t="str">
        <f>IF(N1461="","",VLOOKUP(N1461,Prior_levels,2,TRUE))</f>
        <v>H</v>
      </c>
    </row>
    <row r="1462" spans="1:18" x14ac:dyDescent="0.2">
      <c r="A1462" s="1" t="s">
        <v>164</v>
      </c>
      <c r="B1462" s="1" t="s">
        <v>12</v>
      </c>
      <c r="C1462" s="2">
        <v>41155</v>
      </c>
      <c r="D1462" s="1">
        <v>10</v>
      </c>
      <c r="E1462" s="1" t="s">
        <v>34</v>
      </c>
      <c r="I1462" s="1" t="s">
        <v>12</v>
      </c>
      <c r="J1462" s="1" t="s">
        <v>74</v>
      </c>
      <c r="K1462" s="1" t="s">
        <v>14</v>
      </c>
      <c r="L1462" s="1" t="s">
        <v>12</v>
      </c>
      <c r="M1462" s="1" t="s">
        <v>12</v>
      </c>
      <c r="N1462" s="1">
        <v>33.18</v>
      </c>
      <c r="O1462" s="1" t="s">
        <v>30</v>
      </c>
      <c r="P1462" s="1" t="s">
        <v>37</v>
      </c>
      <c r="Q1462" s="1" t="s">
        <v>16</v>
      </c>
      <c r="R1462" s="1" t="str">
        <f>IF(N1462="","",VLOOKUP(N1462,Prior_levels,2,TRUE))</f>
        <v>H</v>
      </c>
    </row>
    <row r="1463" spans="1:18" x14ac:dyDescent="0.2">
      <c r="A1463" s="1" t="s">
        <v>164</v>
      </c>
      <c r="B1463" s="1" t="s">
        <v>12</v>
      </c>
      <c r="C1463" s="2">
        <v>41155</v>
      </c>
      <c r="D1463" s="1">
        <v>10</v>
      </c>
      <c r="E1463" s="1" t="s">
        <v>34</v>
      </c>
      <c r="I1463" s="1" t="s">
        <v>12</v>
      </c>
      <c r="J1463" s="1" t="s">
        <v>74</v>
      </c>
      <c r="K1463" s="1" t="s">
        <v>14</v>
      </c>
      <c r="L1463" s="1" t="s">
        <v>12</v>
      </c>
      <c r="M1463" s="1" t="s">
        <v>12</v>
      </c>
      <c r="N1463" s="1">
        <v>33.18</v>
      </c>
      <c r="O1463" s="1" t="s">
        <v>31</v>
      </c>
      <c r="P1463" s="1" t="s">
        <v>28</v>
      </c>
      <c r="Q1463" s="1" t="s">
        <v>16</v>
      </c>
      <c r="R1463" s="1" t="str">
        <f>IF(N1463="","",VLOOKUP(N1463,Prior_levels,2,TRUE))</f>
        <v>H</v>
      </c>
    </row>
    <row r="1464" spans="1:18" x14ac:dyDescent="0.2">
      <c r="A1464" s="1" t="s">
        <v>164</v>
      </c>
      <c r="B1464" s="1" t="s">
        <v>12</v>
      </c>
      <c r="C1464" s="2">
        <v>41155</v>
      </c>
      <c r="D1464" s="1">
        <v>10</v>
      </c>
      <c r="E1464" s="1" t="s">
        <v>34</v>
      </c>
      <c r="I1464" s="1" t="s">
        <v>12</v>
      </c>
      <c r="J1464" s="1" t="s">
        <v>74</v>
      </c>
      <c r="K1464" s="1" t="s">
        <v>14</v>
      </c>
      <c r="L1464" s="1" t="s">
        <v>12</v>
      </c>
      <c r="M1464" s="1" t="s">
        <v>12</v>
      </c>
      <c r="N1464" s="1">
        <v>33.18</v>
      </c>
      <c r="O1464" s="1" t="s">
        <v>32</v>
      </c>
      <c r="P1464" s="1" t="s">
        <v>37</v>
      </c>
      <c r="Q1464" s="1" t="s">
        <v>16</v>
      </c>
      <c r="R1464" s="1" t="str">
        <f>IF(N1464="","",VLOOKUP(N1464,Prior_levels,2,TRUE))</f>
        <v>H</v>
      </c>
    </row>
    <row r="1465" spans="1:18" x14ac:dyDescent="0.2">
      <c r="A1465" s="1" t="s">
        <v>165</v>
      </c>
      <c r="B1465" s="1" t="s">
        <v>12</v>
      </c>
      <c r="C1465" s="2">
        <v>41155</v>
      </c>
      <c r="D1465" s="1">
        <v>10</v>
      </c>
      <c r="E1465" s="1" t="s">
        <v>42</v>
      </c>
      <c r="F1465" s="1" t="s">
        <v>100</v>
      </c>
      <c r="I1465" s="1" t="s">
        <v>12</v>
      </c>
      <c r="J1465" s="1" t="s">
        <v>166</v>
      </c>
      <c r="K1465" s="1" t="s">
        <v>14</v>
      </c>
      <c r="L1465" s="1" t="s">
        <v>12</v>
      </c>
      <c r="M1465" s="1" t="s">
        <v>12</v>
      </c>
      <c r="N1465" s="1">
        <v>15.06</v>
      </c>
      <c r="O1465" s="1" t="s">
        <v>15</v>
      </c>
      <c r="P1465" s="1">
        <v>2.1</v>
      </c>
      <c r="Q1465" s="1" t="s">
        <v>16</v>
      </c>
      <c r="R1465" s="1" t="str">
        <f>IF(N1465="","",VLOOKUP(N1465,Prior_levels,2,TRUE))</f>
        <v>L</v>
      </c>
    </row>
    <row r="1466" spans="1:18" x14ac:dyDescent="0.2">
      <c r="A1466" s="1" t="s">
        <v>165</v>
      </c>
      <c r="B1466" s="1" t="s">
        <v>12</v>
      </c>
      <c r="C1466" s="2">
        <v>41155</v>
      </c>
      <c r="D1466" s="1">
        <v>10</v>
      </c>
      <c r="E1466" s="1" t="s">
        <v>42</v>
      </c>
      <c r="F1466" s="1" t="s">
        <v>100</v>
      </c>
      <c r="I1466" s="1" t="s">
        <v>12</v>
      </c>
      <c r="J1466" s="1" t="s">
        <v>166</v>
      </c>
      <c r="K1466" s="1" t="s">
        <v>14</v>
      </c>
      <c r="L1466" s="1" t="s">
        <v>12</v>
      </c>
      <c r="M1466" s="1" t="s">
        <v>12</v>
      </c>
      <c r="N1466" s="1">
        <v>15.06</v>
      </c>
      <c r="O1466" s="1" t="s">
        <v>17</v>
      </c>
      <c r="P1466" s="1">
        <v>0.19</v>
      </c>
      <c r="Q1466" s="1" t="s">
        <v>16</v>
      </c>
      <c r="R1466" s="1" t="str">
        <f>IF(N1466="","",VLOOKUP(N1466,Prior_levels,2,TRUE))</f>
        <v>L</v>
      </c>
    </row>
    <row r="1467" spans="1:18" x14ac:dyDescent="0.2">
      <c r="A1467" s="1" t="s">
        <v>165</v>
      </c>
      <c r="B1467" s="1" t="s">
        <v>12</v>
      </c>
      <c r="C1467" s="2">
        <v>41155</v>
      </c>
      <c r="D1467" s="1">
        <v>10</v>
      </c>
      <c r="E1467" s="1" t="s">
        <v>42</v>
      </c>
      <c r="F1467" s="1" t="s">
        <v>100</v>
      </c>
      <c r="I1467" s="1" t="s">
        <v>12</v>
      </c>
      <c r="J1467" s="1" t="s">
        <v>166</v>
      </c>
      <c r="K1467" s="1" t="s">
        <v>14</v>
      </c>
      <c r="L1467" s="1" t="s">
        <v>12</v>
      </c>
      <c r="M1467" s="1" t="s">
        <v>12</v>
      </c>
      <c r="N1467" s="1">
        <v>15.06</v>
      </c>
      <c r="O1467" s="1" t="s">
        <v>18</v>
      </c>
      <c r="P1467" s="1">
        <v>6</v>
      </c>
      <c r="Q1467" s="1" t="s">
        <v>16</v>
      </c>
      <c r="R1467" s="1" t="str">
        <f>IF(N1467="","",VLOOKUP(N1467,Prior_levels,2,TRUE))</f>
        <v>L</v>
      </c>
    </row>
    <row r="1468" spans="1:18" x14ac:dyDescent="0.2">
      <c r="A1468" s="1" t="s">
        <v>165</v>
      </c>
      <c r="B1468" s="1" t="s">
        <v>12</v>
      </c>
      <c r="C1468" s="2">
        <v>41155</v>
      </c>
      <c r="D1468" s="1">
        <v>10</v>
      </c>
      <c r="E1468" s="1" t="s">
        <v>42</v>
      </c>
      <c r="F1468" s="1" t="s">
        <v>100</v>
      </c>
      <c r="I1468" s="1" t="s">
        <v>12</v>
      </c>
      <c r="J1468" s="1" t="s">
        <v>166</v>
      </c>
      <c r="K1468" s="1" t="s">
        <v>14</v>
      </c>
      <c r="L1468" s="1" t="s">
        <v>12</v>
      </c>
      <c r="M1468" s="1" t="s">
        <v>12</v>
      </c>
      <c r="N1468" s="1">
        <v>15.06</v>
      </c>
      <c r="O1468" s="1" t="s">
        <v>19</v>
      </c>
      <c r="P1468" s="1">
        <v>2</v>
      </c>
      <c r="Q1468" s="1" t="s">
        <v>16</v>
      </c>
      <c r="R1468" s="1" t="str">
        <f>IF(N1468="","",VLOOKUP(N1468,Prior_levels,2,TRUE))</f>
        <v>L</v>
      </c>
    </row>
    <row r="1469" spans="1:18" x14ac:dyDescent="0.2">
      <c r="A1469" s="1" t="s">
        <v>165</v>
      </c>
      <c r="B1469" s="1" t="s">
        <v>12</v>
      </c>
      <c r="C1469" s="2">
        <v>41155</v>
      </c>
      <c r="D1469" s="1">
        <v>10</v>
      </c>
      <c r="E1469" s="1" t="s">
        <v>42</v>
      </c>
      <c r="F1469" s="1" t="s">
        <v>100</v>
      </c>
      <c r="I1469" s="1" t="s">
        <v>12</v>
      </c>
      <c r="J1469" s="1" t="s">
        <v>166</v>
      </c>
      <c r="K1469" s="1" t="s">
        <v>14</v>
      </c>
      <c r="L1469" s="1" t="s">
        <v>12</v>
      </c>
      <c r="M1469" s="1" t="s">
        <v>12</v>
      </c>
      <c r="N1469" s="1">
        <v>15.06</v>
      </c>
      <c r="O1469" s="1" t="s">
        <v>20</v>
      </c>
      <c r="P1469" s="1">
        <v>5</v>
      </c>
      <c r="Q1469" s="1" t="s">
        <v>16</v>
      </c>
      <c r="R1469" s="1" t="str">
        <f>IF(N1469="","",VLOOKUP(N1469,Prior_levels,2,TRUE))</f>
        <v>L</v>
      </c>
    </row>
    <row r="1470" spans="1:18" x14ac:dyDescent="0.2">
      <c r="A1470" s="1" t="s">
        <v>165</v>
      </c>
      <c r="B1470" s="1" t="s">
        <v>12</v>
      </c>
      <c r="C1470" s="2">
        <v>41155</v>
      </c>
      <c r="D1470" s="1">
        <v>10</v>
      </c>
      <c r="E1470" s="1" t="s">
        <v>42</v>
      </c>
      <c r="F1470" s="1" t="s">
        <v>100</v>
      </c>
      <c r="I1470" s="1" t="s">
        <v>12</v>
      </c>
      <c r="J1470" s="1" t="s">
        <v>166</v>
      </c>
      <c r="K1470" s="1" t="s">
        <v>14</v>
      </c>
      <c r="L1470" s="1" t="s">
        <v>12</v>
      </c>
      <c r="M1470" s="1" t="s">
        <v>12</v>
      </c>
      <c r="N1470" s="1">
        <v>15.06</v>
      </c>
      <c r="O1470" s="1" t="s">
        <v>21</v>
      </c>
      <c r="P1470" s="1">
        <v>8</v>
      </c>
      <c r="Q1470" s="1" t="s">
        <v>16</v>
      </c>
      <c r="R1470" s="1" t="str">
        <f>IF(N1470="","",VLOOKUP(N1470,Prior_levels,2,TRUE))</f>
        <v>L</v>
      </c>
    </row>
    <row r="1471" spans="1:18" x14ac:dyDescent="0.2">
      <c r="A1471" s="1" t="s">
        <v>165</v>
      </c>
      <c r="B1471" s="1" t="s">
        <v>12</v>
      </c>
      <c r="C1471" s="2">
        <v>41155</v>
      </c>
      <c r="D1471" s="1">
        <v>10</v>
      </c>
      <c r="E1471" s="1" t="s">
        <v>42</v>
      </c>
      <c r="F1471" s="1" t="s">
        <v>100</v>
      </c>
      <c r="I1471" s="1" t="s">
        <v>12</v>
      </c>
      <c r="J1471" s="1" t="s">
        <v>166</v>
      </c>
      <c r="K1471" s="1" t="s">
        <v>14</v>
      </c>
      <c r="L1471" s="1" t="s">
        <v>12</v>
      </c>
      <c r="M1471" s="1" t="s">
        <v>12</v>
      </c>
      <c r="N1471" s="1">
        <v>15.06</v>
      </c>
      <c r="O1471" s="1" t="s">
        <v>22</v>
      </c>
      <c r="P1471" s="1">
        <v>0.34</v>
      </c>
      <c r="Q1471" s="1" t="s">
        <v>16</v>
      </c>
      <c r="R1471" s="1" t="str">
        <f>IF(N1471="","",VLOOKUP(N1471,Prior_levels,2,TRUE))</f>
        <v>L</v>
      </c>
    </row>
    <row r="1472" spans="1:18" x14ac:dyDescent="0.2">
      <c r="A1472" s="1" t="s">
        <v>165</v>
      </c>
      <c r="B1472" s="1" t="s">
        <v>12</v>
      </c>
      <c r="C1472" s="2">
        <v>41155</v>
      </c>
      <c r="D1472" s="1">
        <v>10</v>
      </c>
      <c r="E1472" s="1" t="s">
        <v>42</v>
      </c>
      <c r="F1472" s="1" t="s">
        <v>100</v>
      </c>
      <c r="I1472" s="1" t="s">
        <v>12</v>
      </c>
      <c r="J1472" s="1" t="s">
        <v>166</v>
      </c>
      <c r="K1472" s="1" t="s">
        <v>14</v>
      </c>
      <c r="L1472" s="1" t="s">
        <v>12</v>
      </c>
      <c r="M1472" s="1" t="s">
        <v>12</v>
      </c>
      <c r="N1472" s="1">
        <v>15.06</v>
      </c>
      <c r="O1472" s="1" t="s">
        <v>23</v>
      </c>
      <c r="P1472" s="1">
        <v>-0.32</v>
      </c>
      <c r="Q1472" s="1" t="s">
        <v>16</v>
      </c>
      <c r="R1472" s="1" t="str">
        <f>IF(N1472="","",VLOOKUP(N1472,Prior_levels,2,TRUE))</f>
        <v>L</v>
      </c>
    </row>
    <row r="1473" spans="1:18" x14ac:dyDescent="0.2">
      <c r="A1473" s="1" t="s">
        <v>165</v>
      </c>
      <c r="B1473" s="1" t="s">
        <v>12</v>
      </c>
      <c r="C1473" s="2">
        <v>41155</v>
      </c>
      <c r="D1473" s="1">
        <v>10</v>
      </c>
      <c r="E1473" s="1" t="s">
        <v>42</v>
      </c>
      <c r="F1473" s="1" t="s">
        <v>100</v>
      </c>
      <c r="I1473" s="1" t="s">
        <v>12</v>
      </c>
      <c r="J1473" s="1" t="s">
        <v>166</v>
      </c>
      <c r="K1473" s="1" t="s">
        <v>14</v>
      </c>
      <c r="L1473" s="1" t="s">
        <v>12</v>
      </c>
      <c r="M1473" s="1" t="s">
        <v>12</v>
      </c>
      <c r="N1473" s="1">
        <v>15.06</v>
      </c>
      <c r="O1473" s="1" t="s">
        <v>24</v>
      </c>
      <c r="P1473" s="1">
        <v>2.44</v>
      </c>
      <c r="Q1473" s="1" t="s">
        <v>16</v>
      </c>
      <c r="R1473" s="1" t="str">
        <f>IF(N1473="","",VLOOKUP(N1473,Prior_levels,2,TRUE))</f>
        <v>L</v>
      </c>
    </row>
    <row r="1474" spans="1:18" x14ac:dyDescent="0.2">
      <c r="A1474" s="1" t="s">
        <v>165</v>
      </c>
      <c r="B1474" s="1" t="s">
        <v>12</v>
      </c>
      <c r="C1474" s="2">
        <v>41155</v>
      </c>
      <c r="D1474" s="1">
        <v>10</v>
      </c>
      <c r="E1474" s="1" t="s">
        <v>42</v>
      </c>
      <c r="F1474" s="1" t="s">
        <v>100</v>
      </c>
      <c r="I1474" s="1" t="s">
        <v>12</v>
      </c>
      <c r="J1474" s="1" t="s">
        <v>166</v>
      </c>
      <c r="K1474" s="1" t="s">
        <v>14</v>
      </c>
      <c r="L1474" s="1" t="s">
        <v>12</v>
      </c>
      <c r="M1474" s="1" t="s">
        <v>12</v>
      </c>
      <c r="N1474" s="1">
        <v>15.06</v>
      </c>
      <c r="O1474" s="1" t="s">
        <v>25</v>
      </c>
      <c r="P1474" s="1">
        <v>-0.63</v>
      </c>
      <c r="Q1474" s="1" t="s">
        <v>16</v>
      </c>
      <c r="R1474" s="1" t="str">
        <f>IF(N1474="","",VLOOKUP(N1474,Prior_levels,2,TRUE))</f>
        <v>L</v>
      </c>
    </row>
    <row r="1475" spans="1:18" x14ac:dyDescent="0.2">
      <c r="A1475" s="1" t="s">
        <v>165</v>
      </c>
      <c r="B1475" s="1" t="s">
        <v>12</v>
      </c>
      <c r="C1475" s="2">
        <v>41155</v>
      </c>
      <c r="D1475" s="1">
        <v>10</v>
      </c>
      <c r="E1475" s="1" t="s">
        <v>42</v>
      </c>
      <c r="F1475" s="1" t="s">
        <v>100</v>
      </c>
      <c r="I1475" s="1" t="s">
        <v>12</v>
      </c>
      <c r="J1475" s="1" t="s">
        <v>166</v>
      </c>
      <c r="K1475" s="1" t="s">
        <v>14</v>
      </c>
      <c r="L1475" s="1" t="s">
        <v>12</v>
      </c>
      <c r="M1475" s="1" t="s">
        <v>12</v>
      </c>
      <c r="N1475" s="1">
        <v>15.06</v>
      </c>
      <c r="O1475" s="1" t="s">
        <v>26</v>
      </c>
      <c r="P1475" s="1">
        <v>1</v>
      </c>
      <c r="Q1475" s="1" t="s">
        <v>16</v>
      </c>
      <c r="R1475" s="1" t="str">
        <f>IF(N1475="","",VLOOKUP(N1475,Prior_levels,2,TRUE))</f>
        <v>L</v>
      </c>
    </row>
    <row r="1476" spans="1:18" x14ac:dyDescent="0.2">
      <c r="A1476" s="1" t="s">
        <v>165</v>
      </c>
      <c r="B1476" s="1" t="s">
        <v>12</v>
      </c>
      <c r="C1476" s="2">
        <v>41155</v>
      </c>
      <c r="D1476" s="1">
        <v>10</v>
      </c>
      <c r="E1476" s="1" t="s">
        <v>42</v>
      </c>
      <c r="F1476" s="1" t="s">
        <v>100</v>
      </c>
      <c r="I1476" s="1" t="s">
        <v>12</v>
      </c>
      <c r="J1476" s="1" t="s">
        <v>166</v>
      </c>
      <c r="K1476" s="1" t="s">
        <v>14</v>
      </c>
      <c r="L1476" s="1" t="s">
        <v>12</v>
      </c>
      <c r="M1476" s="1" t="s">
        <v>12</v>
      </c>
      <c r="N1476" s="1">
        <v>15.06</v>
      </c>
      <c r="O1476" s="1" t="s">
        <v>32</v>
      </c>
      <c r="P1476" s="1" t="s">
        <v>28</v>
      </c>
      <c r="Q1476" s="1" t="s">
        <v>16</v>
      </c>
      <c r="R1476" s="1" t="str">
        <f>IF(N1476="","",VLOOKUP(N1476,Prior_levels,2,TRUE))</f>
        <v>L</v>
      </c>
    </row>
    <row r="1477" spans="1:18" x14ac:dyDescent="0.2">
      <c r="A1477" s="1" t="s">
        <v>165</v>
      </c>
      <c r="B1477" s="1" t="s">
        <v>12</v>
      </c>
      <c r="C1477" s="2">
        <v>41155</v>
      </c>
      <c r="D1477" s="1">
        <v>10</v>
      </c>
      <c r="E1477" s="1" t="s">
        <v>42</v>
      </c>
      <c r="F1477" s="1" t="s">
        <v>100</v>
      </c>
      <c r="I1477" s="1" t="s">
        <v>12</v>
      </c>
      <c r="J1477" s="1" t="s">
        <v>166</v>
      </c>
      <c r="K1477" s="1" t="s">
        <v>14</v>
      </c>
      <c r="L1477" s="1" t="s">
        <v>12</v>
      </c>
      <c r="M1477" s="1" t="s">
        <v>12</v>
      </c>
      <c r="N1477" s="1">
        <v>15.06</v>
      </c>
      <c r="O1477" s="1" t="s">
        <v>27</v>
      </c>
      <c r="P1477" s="1" t="s">
        <v>28</v>
      </c>
      <c r="Q1477" s="1" t="s">
        <v>16</v>
      </c>
      <c r="R1477" s="1" t="str">
        <f>IF(N1477="","",VLOOKUP(N1477,Prior_levels,2,TRUE))</f>
        <v>L</v>
      </c>
    </row>
    <row r="1478" spans="1:18" x14ac:dyDescent="0.2">
      <c r="A1478" s="1" t="s">
        <v>165</v>
      </c>
      <c r="B1478" s="1" t="s">
        <v>12</v>
      </c>
      <c r="C1478" s="2">
        <v>41155</v>
      </c>
      <c r="D1478" s="1">
        <v>10</v>
      </c>
      <c r="E1478" s="1" t="s">
        <v>42</v>
      </c>
      <c r="F1478" s="1" t="s">
        <v>100</v>
      </c>
      <c r="I1478" s="1" t="s">
        <v>12</v>
      </c>
      <c r="J1478" s="1" t="s">
        <v>166</v>
      </c>
      <c r="K1478" s="1" t="s">
        <v>14</v>
      </c>
      <c r="L1478" s="1" t="s">
        <v>12</v>
      </c>
      <c r="M1478" s="1" t="s">
        <v>12</v>
      </c>
      <c r="N1478" s="1">
        <v>15.06</v>
      </c>
      <c r="O1478" s="1" t="s">
        <v>29</v>
      </c>
      <c r="P1478" s="1" t="s">
        <v>28</v>
      </c>
      <c r="Q1478" s="1" t="s">
        <v>16</v>
      </c>
      <c r="R1478" s="1" t="str">
        <f>IF(N1478="","",VLOOKUP(N1478,Prior_levels,2,TRUE))</f>
        <v>L</v>
      </c>
    </row>
    <row r="1479" spans="1:18" x14ac:dyDescent="0.2">
      <c r="A1479" s="1" t="s">
        <v>165</v>
      </c>
      <c r="B1479" s="1" t="s">
        <v>12</v>
      </c>
      <c r="C1479" s="2">
        <v>41155</v>
      </c>
      <c r="D1479" s="1">
        <v>10</v>
      </c>
      <c r="E1479" s="1" t="s">
        <v>42</v>
      </c>
      <c r="F1479" s="1" t="s">
        <v>100</v>
      </c>
      <c r="I1479" s="1" t="s">
        <v>12</v>
      </c>
      <c r="J1479" s="1" t="s">
        <v>166</v>
      </c>
      <c r="K1479" s="1" t="s">
        <v>14</v>
      </c>
      <c r="L1479" s="1" t="s">
        <v>12</v>
      </c>
      <c r="M1479" s="1" t="s">
        <v>12</v>
      </c>
      <c r="N1479" s="1">
        <v>15.06</v>
      </c>
      <c r="O1479" s="1" t="s">
        <v>30</v>
      </c>
      <c r="P1479" s="1" t="s">
        <v>28</v>
      </c>
      <c r="Q1479" s="1" t="s">
        <v>16</v>
      </c>
      <c r="R1479" s="1" t="str">
        <f>IF(N1479="","",VLOOKUP(N1479,Prior_levels,2,TRUE))</f>
        <v>L</v>
      </c>
    </row>
    <row r="1480" spans="1:18" x14ac:dyDescent="0.2">
      <c r="A1480" s="1" t="s">
        <v>165</v>
      </c>
      <c r="B1480" s="1" t="s">
        <v>12</v>
      </c>
      <c r="C1480" s="2">
        <v>41155</v>
      </c>
      <c r="D1480" s="1">
        <v>10</v>
      </c>
      <c r="E1480" s="1" t="s">
        <v>42</v>
      </c>
      <c r="F1480" s="1" t="s">
        <v>100</v>
      </c>
      <c r="I1480" s="1" t="s">
        <v>12</v>
      </c>
      <c r="J1480" s="1" t="s">
        <v>166</v>
      </c>
      <c r="K1480" s="1" t="s">
        <v>14</v>
      </c>
      <c r="L1480" s="1" t="s">
        <v>12</v>
      </c>
      <c r="M1480" s="1" t="s">
        <v>12</v>
      </c>
      <c r="N1480" s="1">
        <v>15.06</v>
      </c>
      <c r="O1480" s="1" t="s">
        <v>31</v>
      </c>
      <c r="P1480" s="1" t="s">
        <v>28</v>
      </c>
      <c r="Q1480" s="1" t="s">
        <v>16</v>
      </c>
      <c r="R1480" s="1" t="str">
        <f>IF(N1480="","",VLOOKUP(N1480,Prior_levels,2,TRUE))</f>
        <v>L</v>
      </c>
    </row>
    <row r="1481" spans="1:18" x14ac:dyDescent="0.2">
      <c r="A1481" s="1" t="s">
        <v>167</v>
      </c>
      <c r="B1481" s="1" t="s">
        <v>10</v>
      </c>
      <c r="C1481" s="2">
        <v>41155</v>
      </c>
      <c r="D1481" s="1">
        <v>10</v>
      </c>
      <c r="E1481" s="1" t="s">
        <v>47</v>
      </c>
      <c r="F1481" s="1" t="s">
        <v>100</v>
      </c>
      <c r="H1481" s="1" t="s">
        <v>48</v>
      </c>
      <c r="I1481" s="1" t="s">
        <v>12</v>
      </c>
      <c r="J1481" s="1" t="s">
        <v>168</v>
      </c>
      <c r="K1481" s="1" t="s">
        <v>169</v>
      </c>
      <c r="L1481" s="1" t="s">
        <v>12</v>
      </c>
      <c r="M1481" s="1" t="s">
        <v>12</v>
      </c>
      <c r="N1481" s="1">
        <v>15.06</v>
      </c>
      <c r="O1481" s="1" t="s">
        <v>15</v>
      </c>
      <c r="P1481" s="1">
        <v>2.0499999999999998</v>
      </c>
      <c r="Q1481" s="1" t="s">
        <v>16</v>
      </c>
      <c r="R1481" s="1" t="str">
        <f>IF(N1481="","",VLOOKUP(N1481,Prior_levels,2,TRUE))</f>
        <v>L</v>
      </c>
    </row>
    <row r="1482" spans="1:18" x14ac:dyDescent="0.2">
      <c r="A1482" s="1" t="s">
        <v>167</v>
      </c>
      <c r="B1482" s="1" t="s">
        <v>10</v>
      </c>
      <c r="C1482" s="2">
        <v>41155</v>
      </c>
      <c r="D1482" s="1">
        <v>10</v>
      </c>
      <c r="E1482" s="1" t="s">
        <v>47</v>
      </c>
      <c r="F1482" s="1" t="s">
        <v>100</v>
      </c>
      <c r="H1482" s="1" t="s">
        <v>48</v>
      </c>
      <c r="I1482" s="1" t="s">
        <v>12</v>
      </c>
      <c r="J1482" s="1" t="s">
        <v>168</v>
      </c>
      <c r="K1482" s="1" t="s">
        <v>169</v>
      </c>
      <c r="L1482" s="1" t="s">
        <v>12</v>
      </c>
      <c r="M1482" s="1" t="s">
        <v>12</v>
      </c>
      <c r="N1482" s="1">
        <v>15.06</v>
      </c>
      <c r="O1482" s="1" t="s">
        <v>17</v>
      </c>
      <c r="P1482" s="1">
        <v>0.14000000000000001</v>
      </c>
      <c r="Q1482" s="1" t="s">
        <v>16</v>
      </c>
      <c r="R1482" s="1" t="str">
        <f>IF(N1482="","",VLOOKUP(N1482,Prior_levels,2,TRUE))</f>
        <v>L</v>
      </c>
    </row>
    <row r="1483" spans="1:18" x14ac:dyDescent="0.2">
      <c r="A1483" s="1" t="s">
        <v>167</v>
      </c>
      <c r="B1483" s="1" t="s">
        <v>10</v>
      </c>
      <c r="C1483" s="2">
        <v>41155</v>
      </c>
      <c r="D1483" s="1">
        <v>10</v>
      </c>
      <c r="E1483" s="1" t="s">
        <v>47</v>
      </c>
      <c r="F1483" s="1" t="s">
        <v>100</v>
      </c>
      <c r="H1483" s="1" t="s">
        <v>48</v>
      </c>
      <c r="I1483" s="1" t="s">
        <v>12</v>
      </c>
      <c r="J1483" s="1" t="s">
        <v>168</v>
      </c>
      <c r="K1483" s="1" t="s">
        <v>169</v>
      </c>
      <c r="L1483" s="1" t="s">
        <v>12</v>
      </c>
      <c r="M1483" s="1" t="s">
        <v>12</v>
      </c>
      <c r="N1483" s="1">
        <v>15.06</v>
      </c>
      <c r="O1483" s="1" t="s">
        <v>18</v>
      </c>
      <c r="P1483" s="1">
        <v>4</v>
      </c>
      <c r="Q1483" s="1" t="s">
        <v>16</v>
      </c>
      <c r="R1483" s="1" t="str">
        <f>IF(N1483="","",VLOOKUP(N1483,Prior_levels,2,TRUE))</f>
        <v>L</v>
      </c>
    </row>
    <row r="1484" spans="1:18" x14ac:dyDescent="0.2">
      <c r="A1484" s="1" t="s">
        <v>167</v>
      </c>
      <c r="B1484" s="1" t="s">
        <v>10</v>
      </c>
      <c r="C1484" s="2">
        <v>41155</v>
      </c>
      <c r="D1484" s="1">
        <v>10</v>
      </c>
      <c r="E1484" s="1" t="s">
        <v>47</v>
      </c>
      <c r="F1484" s="1" t="s">
        <v>100</v>
      </c>
      <c r="H1484" s="1" t="s">
        <v>48</v>
      </c>
      <c r="I1484" s="1" t="s">
        <v>12</v>
      </c>
      <c r="J1484" s="1" t="s">
        <v>168</v>
      </c>
      <c r="K1484" s="1" t="s">
        <v>169</v>
      </c>
      <c r="L1484" s="1" t="s">
        <v>12</v>
      </c>
      <c r="M1484" s="1" t="s">
        <v>12</v>
      </c>
      <c r="N1484" s="1">
        <v>15.06</v>
      </c>
      <c r="O1484" s="1" t="s">
        <v>19</v>
      </c>
      <c r="P1484" s="1">
        <v>4</v>
      </c>
      <c r="Q1484" s="1" t="s">
        <v>16</v>
      </c>
      <c r="R1484" s="1" t="str">
        <f>IF(N1484="","",VLOOKUP(N1484,Prior_levels,2,TRUE))</f>
        <v>L</v>
      </c>
    </row>
    <row r="1485" spans="1:18" x14ac:dyDescent="0.2">
      <c r="A1485" s="1" t="s">
        <v>167</v>
      </c>
      <c r="B1485" s="1" t="s">
        <v>10</v>
      </c>
      <c r="C1485" s="2">
        <v>41155</v>
      </c>
      <c r="D1485" s="1">
        <v>10</v>
      </c>
      <c r="E1485" s="1" t="s">
        <v>47</v>
      </c>
      <c r="F1485" s="1" t="s">
        <v>100</v>
      </c>
      <c r="H1485" s="1" t="s">
        <v>48</v>
      </c>
      <c r="I1485" s="1" t="s">
        <v>12</v>
      </c>
      <c r="J1485" s="1" t="s">
        <v>168</v>
      </c>
      <c r="K1485" s="1" t="s">
        <v>169</v>
      </c>
      <c r="L1485" s="1" t="s">
        <v>12</v>
      </c>
      <c r="M1485" s="1" t="s">
        <v>12</v>
      </c>
      <c r="N1485" s="1">
        <v>15.06</v>
      </c>
      <c r="O1485" s="1" t="s">
        <v>20</v>
      </c>
      <c r="P1485" s="1">
        <v>5</v>
      </c>
      <c r="Q1485" s="1" t="s">
        <v>16</v>
      </c>
      <c r="R1485" s="1" t="str">
        <f>IF(N1485="","",VLOOKUP(N1485,Prior_levels,2,TRUE))</f>
        <v>L</v>
      </c>
    </row>
    <row r="1486" spans="1:18" x14ac:dyDescent="0.2">
      <c r="A1486" s="1" t="s">
        <v>167</v>
      </c>
      <c r="B1486" s="1" t="s">
        <v>10</v>
      </c>
      <c r="C1486" s="2">
        <v>41155</v>
      </c>
      <c r="D1486" s="1">
        <v>10</v>
      </c>
      <c r="E1486" s="1" t="s">
        <v>47</v>
      </c>
      <c r="F1486" s="1" t="s">
        <v>100</v>
      </c>
      <c r="H1486" s="1" t="s">
        <v>48</v>
      </c>
      <c r="I1486" s="1" t="s">
        <v>12</v>
      </c>
      <c r="J1486" s="1" t="s">
        <v>168</v>
      </c>
      <c r="K1486" s="1" t="s">
        <v>169</v>
      </c>
      <c r="L1486" s="1" t="s">
        <v>12</v>
      </c>
      <c r="M1486" s="1" t="s">
        <v>12</v>
      </c>
      <c r="N1486" s="1">
        <v>15.06</v>
      </c>
      <c r="O1486" s="1" t="s">
        <v>21</v>
      </c>
      <c r="P1486" s="1">
        <v>7.5</v>
      </c>
      <c r="Q1486" s="1" t="s">
        <v>16</v>
      </c>
      <c r="R1486" s="1" t="str">
        <f>IF(N1486="","",VLOOKUP(N1486,Prior_levels,2,TRUE))</f>
        <v>L</v>
      </c>
    </row>
    <row r="1487" spans="1:18" x14ac:dyDescent="0.2">
      <c r="A1487" s="1" t="s">
        <v>167</v>
      </c>
      <c r="B1487" s="1" t="s">
        <v>10</v>
      </c>
      <c r="C1487" s="2">
        <v>41155</v>
      </c>
      <c r="D1487" s="1">
        <v>10</v>
      </c>
      <c r="E1487" s="1" t="s">
        <v>47</v>
      </c>
      <c r="F1487" s="1" t="s">
        <v>100</v>
      </c>
      <c r="H1487" s="1" t="s">
        <v>48</v>
      </c>
      <c r="I1487" s="1" t="s">
        <v>12</v>
      </c>
      <c r="J1487" s="1" t="s">
        <v>168</v>
      </c>
      <c r="K1487" s="1" t="s">
        <v>169</v>
      </c>
      <c r="L1487" s="1" t="s">
        <v>12</v>
      </c>
      <c r="M1487" s="1" t="s">
        <v>12</v>
      </c>
      <c r="N1487" s="1">
        <v>15.06</v>
      </c>
      <c r="O1487" s="1" t="s">
        <v>22</v>
      </c>
      <c r="P1487" s="1">
        <v>-0.66</v>
      </c>
      <c r="Q1487" s="1" t="s">
        <v>16</v>
      </c>
      <c r="R1487" s="1" t="str">
        <f>IF(N1487="","",VLOOKUP(N1487,Prior_levels,2,TRUE))</f>
        <v>L</v>
      </c>
    </row>
    <row r="1488" spans="1:18" x14ac:dyDescent="0.2">
      <c r="A1488" s="1" t="s">
        <v>167</v>
      </c>
      <c r="B1488" s="1" t="s">
        <v>10</v>
      </c>
      <c r="C1488" s="2">
        <v>41155</v>
      </c>
      <c r="D1488" s="1">
        <v>10</v>
      </c>
      <c r="E1488" s="1" t="s">
        <v>47</v>
      </c>
      <c r="F1488" s="1" t="s">
        <v>100</v>
      </c>
      <c r="H1488" s="1" t="s">
        <v>48</v>
      </c>
      <c r="I1488" s="1" t="s">
        <v>12</v>
      </c>
      <c r="J1488" s="1" t="s">
        <v>168</v>
      </c>
      <c r="K1488" s="1" t="s">
        <v>169</v>
      </c>
      <c r="L1488" s="1" t="s">
        <v>12</v>
      </c>
      <c r="M1488" s="1" t="s">
        <v>12</v>
      </c>
      <c r="N1488" s="1">
        <v>15.06</v>
      </c>
      <c r="O1488" s="1" t="s">
        <v>23</v>
      </c>
      <c r="P1488" s="1">
        <v>0.68</v>
      </c>
      <c r="Q1488" s="1" t="s">
        <v>16</v>
      </c>
      <c r="R1488" s="1" t="str">
        <f>IF(N1488="","",VLOOKUP(N1488,Prior_levels,2,TRUE))</f>
        <v>L</v>
      </c>
    </row>
    <row r="1489" spans="1:18" x14ac:dyDescent="0.2">
      <c r="A1489" s="1" t="s">
        <v>167</v>
      </c>
      <c r="B1489" s="1" t="s">
        <v>10</v>
      </c>
      <c r="C1489" s="2">
        <v>41155</v>
      </c>
      <c r="D1489" s="1">
        <v>10</v>
      </c>
      <c r="E1489" s="1" t="s">
        <v>47</v>
      </c>
      <c r="F1489" s="1" t="s">
        <v>100</v>
      </c>
      <c r="H1489" s="1" t="s">
        <v>48</v>
      </c>
      <c r="I1489" s="1" t="s">
        <v>12</v>
      </c>
      <c r="J1489" s="1" t="s">
        <v>168</v>
      </c>
      <c r="K1489" s="1" t="s">
        <v>169</v>
      </c>
      <c r="L1489" s="1" t="s">
        <v>12</v>
      </c>
      <c r="M1489" s="1" t="s">
        <v>12</v>
      </c>
      <c r="N1489" s="1">
        <v>15.06</v>
      </c>
      <c r="O1489" s="1" t="s">
        <v>24</v>
      </c>
      <c r="P1489" s="1">
        <v>2.44</v>
      </c>
      <c r="Q1489" s="1" t="s">
        <v>16</v>
      </c>
      <c r="R1489" s="1" t="str">
        <f>IF(N1489="","",VLOOKUP(N1489,Prior_levels,2,TRUE))</f>
        <v>L</v>
      </c>
    </row>
    <row r="1490" spans="1:18" x14ac:dyDescent="0.2">
      <c r="A1490" s="1" t="s">
        <v>167</v>
      </c>
      <c r="B1490" s="1" t="s">
        <v>10</v>
      </c>
      <c r="C1490" s="2">
        <v>41155</v>
      </c>
      <c r="D1490" s="1">
        <v>10</v>
      </c>
      <c r="E1490" s="1" t="s">
        <v>47</v>
      </c>
      <c r="F1490" s="1" t="s">
        <v>100</v>
      </c>
      <c r="H1490" s="1" t="s">
        <v>48</v>
      </c>
      <c r="I1490" s="1" t="s">
        <v>12</v>
      </c>
      <c r="J1490" s="1" t="s">
        <v>168</v>
      </c>
      <c r="K1490" s="1" t="s">
        <v>169</v>
      </c>
      <c r="L1490" s="1" t="s">
        <v>12</v>
      </c>
      <c r="M1490" s="1" t="s">
        <v>12</v>
      </c>
      <c r="N1490" s="1">
        <v>15.06</v>
      </c>
      <c r="O1490" s="1" t="s">
        <v>25</v>
      </c>
      <c r="P1490" s="1">
        <v>-1.1299999999999999</v>
      </c>
      <c r="Q1490" s="1" t="s">
        <v>16</v>
      </c>
      <c r="R1490" s="1" t="str">
        <f>IF(N1490="","",VLOOKUP(N1490,Prior_levels,2,TRUE))</f>
        <v>L</v>
      </c>
    </row>
    <row r="1491" spans="1:18" x14ac:dyDescent="0.2">
      <c r="A1491" s="1" t="s">
        <v>167</v>
      </c>
      <c r="B1491" s="1" t="s">
        <v>10</v>
      </c>
      <c r="C1491" s="2">
        <v>41155</v>
      </c>
      <c r="D1491" s="1">
        <v>10</v>
      </c>
      <c r="E1491" s="1" t="s">
        <v>47</v>
      </c>
      <c r="F1491" s="1" t="s">
        <v>100</v>
      </c>
      <c r="H1491" s="1" t="s">
        <v>48</v>
      </c>
      <c r="I1491" s="1" t="s">
        <v>12</v>
      </c>
      <c r="J1491" s="1" t="s">
        <v>168</v>
      </c>
      <c r="K1491" s="1" t="s">
        <v>169</v>
      </c>
      <c r="L1491" s="1" t="s">
        <v>12</v>
      </c>
      <c r="M1491" s="1" t="s">
        <v>12</v>
      </c>
      <c r="N1491" s="1">
        <v>15.06</v>
      </c>
      <c r="O1491" s="1" t="s">
        <v>26</v>
      </c>
      <c r="P1491" s="1">
        <v>1</v>
      </c>
      <c r="Q1491" s="1" t="s">
        <v>16</v>
      </c>
      <c r="R1491" s="1" t="str">
        <f>IF(N1491="","",VLOOKUP(N1491,Prior_levels,2,TRUE))</f>
        <v>L</v>
      </c>
    </row>
    <row r="1492" spans="1:18" x14ac:dyDescent="0.2">
      <c r="A1492" s="1" t="s">
        <v>167</v>
      </c>
      <c r="B1492" s="1" t="s">
        <v>10</v>
      </c>
      <c r="C1492" s="2">
        <v>41155</v>
      </c>
      <c r="D1492" s="1">
        <v>10</v>
      </c>
      <c r="E1492" s="1" t="s">
        <v>47</v>
      </c>
      <c r="F1492" s="1" t="s">
        <v>100</v>
      </c>
      <c r="H1492" s="1" t="s">
        <v>48</v>
      </c>
      <c r="I1492" s="1" t="s">
        <v>12</v>
      </c>
      <c r="J1492" s="1" t="s">
        <v>168</v>
      </c>
      <c r="K1492" s="1" t="s">
        <v>169</v>
      </c>
      <c r="L1492" s="1" t="s">
        <v>12</v>
      </c>
      <c r="M1492" s="1" t="s">
        <v>12</v>
      </c>
      <c r="N1492" s="1">
        <v>15.06</v>
      </c>
      <c r="O1492" s="1" t="s">
        <v>27</v>
      </c>
      <c r="P1492" s="1" t="s">
        <v>28</v>
      </c>
      <c r="Q1492" s="1" t="s">
        <v>16</v>
      </c>
      <c r="R1492" s="1" t="str">
        <f>IF(N1492="","",VLOOKUP(N1492,Prior_levels,2,TRUE))</f>
        <v>L</v>
      </c>
    </row>
    <row r="1493" spans="1:18" x14ac:dyDescent="0.2">
      <c r="A1493" s="1" t="s">
        <v>167</v>
      </c>
      <c r="B1493" s="1" t="s">
        <v>10</v>
      </c>
      <c r="C1493" s="2">
        <v>41155</v>
      </c>
      <c r="D1493" s="1">
        <v>10</v>
      </c>
      <c r="E1493" s="1" t="s">
        <v>47</v>
      </c>
      <c r="F1493" s="1" t="s">
        <v>100</v>
      </c>
      <c r="H1493" s="1" t="s">
        <v>48</v>
      </c>
      <c r="I1493" s="1" t="s">
        <v>12</v>
      </c>
      <c r="J1493" s="1" t="s">
        <v>168</v>
      </c>
      <c r="K1493" s="1" t="s">
        <v>169</v>
      </c>
      <c r="L1493" s="1" t="s">
        <v>12</v>
      </c>
      <c r="M1493" s="1" t="s">
        <v>12</v>
      </c>
      <c r="N1493" s="1">
        <v>15.06</v>
      </c>
      <c r="O1493" s="1" t="s">
        <v>29</v>
      </c>
      <c r="P1493" s="1" t="s">
        <v>28</v>
      </c>
      <c r="Q1493" s="1" t="s">
        <v>16</v>
      </c>
      <c r="R1493" s="1" t="str">
        <f>IF(N1493="","",VLOOKUP(N1493,Prior_levels,2,TRUE))</f>
        <v>L</v>
      </c>
    </row>
    <row r="1494" spans="1:18" x14ac:dyDescent="0.2">
      <c r="A1494" s="1" t="s">
        <v>167</v>
      </c>
      <c r="B1494" s="1" t="s">
        <v>10</v>
      </c>
      <c r="C1494" s="2">
        <v>41155</v>
      </c>
      <c r="D1494" s="1">
        <v>10</v>
      </c>
      <c r="E1494" s="1" t="s">
        <v>47</v>
      </c>
      <c r="F1494" s="1" t="s">
        <v>100</v>
      </c>
      <c r="H1494" s="1" t="s">
        <v>48</v>
      </c>
      <c r="I1494" s="1" t="s">
        <v>12</v>
      </c>
      <c r="J1494" s="1" t="s">
        <v>168</v>
      </c>
      <c r="K1494" s="1" t="s">
        <v>169</v>
      </c>
      <c r="L1494" s="1" t="s">
        <v>12</v>
      </c>
      <c r="M1494" s="1" t="s">
        <v>12</v>
      </c>
      <c r="N1494" s="1">
        <v>15.06</v>
      </c>
      <c r="O1494" s="1" t="s">
        <v>30</v>
      </c>
      <c r="P1494" s="1" t="s">
        <v>28</v>
      </c>
      <c r="Q1494" s="1" t="s">
        <v>16</v>
      </c>
      <c r="R1494" s="1" t="str">
        <f>IF(N1494="","",VLOOKUP(N1494,Prior_levels,2,TRUE))</f>
        <v>L</v>
      </c>
    </row>
    <row r="1495" spans="1:18" x14ac:dyDescent="0.2">
      <c r="A1495" s="1" t="s">
        <v>167</v>
      </c>
      <c r="B1495" s="1" t="s">
        <v>10</v>
      </c>
      <c r="C1495" s="2">
        <v>41155</v>
      </c>
      <c r="D1495" s="1">
        <v>10</v>
      </c>
      <c r="E1495" s="1" t="s">
        <v>47</v>
      </c>
      <c r="F1495" s="1" t="s">
        <v>100</v>
      </c>
      <c r="H1495" s="1" t="s">
        <v>48</v>
      </c>
      <c r="I1495" s="1" t="s">
        <v>12</v>
      </c>
      <c r="J1495" s="1" t="s">
        <v>168</v>
      </c>
      <c r="K1495" s="1" t="s">
        <v>169</v>
      </c>
      <c r="L1495" s="1" t="s">
        <v>12</v>
      </c>
      <c r="M1495" s="1" t="s">
        <v>12</v>
      </c>
      <c r="N1495" s="1">
        <v>15.06</v>
      </c>
      <c r="O1495" s="1" t="s">
        <v>31</v>
      </c>
      <c r="P1495" s="1" t="s">
        <v>28</v>
      </c>
      <c r="Q1495" s="1" t="s">
        <v>16</v>
      </c>
      <c r="R1495" s="1" t="str">
        <f>IF(N1495="","",VLOOKUP(N1495,Prior_levels,2,TRUE))</f>
        <v>L</v>
      </c>
    </row>
    <row r="1496" spans="1:18" x14ac:dyDescent="0.2">
      <c r="A1496" s="1" t="s">
        <v>167</v>
      </c>
      <c r="B1496" s="1" t="s">
        <v>10</v>
      </c>
      <c r="C1496" s="2">
        <v>41155</v>
      </c>
      <c r="D1496" s="1">
        <v>10</v>
      </c>
      <c r="E1496" s="1" t="s">
        <v>47</v>
      </c>
      <c r="F1496" s="1" t="s">
        <v>100</v>
      </c>
      <c r="H1496" s="1" t="s">
        <v>48</v>
      </c>
      <c r="I1496" s="1" t="s">
        <v>12</v>
      </c>
      <c r="J1496" s="1" t="s">
        <v>168</v>
      </c>
      <c r="K1496" s="1" t="s">
        <v>169</v>
      </c>
      <c r="L1496" s="1" t="s">
        <v>12</v>
      </c>
      <c r="M1496" s="1" t="s">
        <v>12</v>
      </c>
      <c r="N1496" s="1">
        <v>15.06</v>
      </c>
      <c r="O1496" s="1" t="s">
        <v>32</v>
      </c>
      <c r="P1496" s="1" t="s">
        <v>28</v>
      </c>
      <c r="Q1496" s="1" t="s">
        <v>16</v>
      </c>
      <c r="R1496" s="1" t="str">
        <f>IF(N1496="","",VLOOKUP(N1496,Prior_levels,2,TRUE))</f>
        <v>L</v>
      </c>
    </row>
    <row r="1497" spans="1:18" x14ac:dyDescent="0.2">
      <c r="A1497" s="1" t="s">
        <v>170</v>
      </c>
      <c r="B1497" s="1" t="s">
        <v>12</v>
      </c>
      <c r="C1497" s="2">
        <v>41155</v>
      </c>
      <c r="D1497" s="1">
        <v>10</v>
      </c>
      <c r="E1497" s="1" t="s">
        <v>52</v>
      </c>
      <c r="I1497" s="1" t="s">
        <v>12</v>
      </c>
      <c r="J1497" s="1" t="s">
        <v>171</v>
      </c>
      <c r="K1497" s="1" t="s">
        <v>169</v>
      </c>
      <c r="L1497" s="1" t="s">
        <v>12</v>
      </c>
      <c r="M1497" s="1" t="s">
        <v>12</v>
      </c>
      <c r="N1497" s="1">
        <v>33.18</v>
      </c>
      <c r="O1497" s="1" t="s">
        <v>15</v>
      </c>
      <c r="P1497" s="1">
        <v>4.5</v>
      </c>
      <c r="Q1497" s="1" t="s">
        <v>16</v>
      </c>
      <c r="R1497" s="1" t="str">
        <f>IF(N1497="","",VLOOKUP(N1497,Prior_levels,2,TRUE))</f>
        <v>H</v>
      </c>
    </row>
    <row r="1498" spans="1:18" x14ac:dyDescent="0.2">
      <c r="A1498" s="1" t="s">
        <v>170</v>
      </c>
      <c r="B1498" s="1" t="s">
        <v>12</v>
      </c>
      <c r="C1498" s="2">
        <v>41155</v>
      </c>
      <c r="D1498" s="1">
        <v>10</v>
      </c>
      <c r="E1498" s="1" t="s">
        <v>52</v>
      </c>
      <c r="I1498" s="1" t="s">
        <v>12</v>
      </c>
      <c r="J1498" s="1" t="s">
        <v>171</v>
      </c>
      <c r="K1498" s="1" t="s">
        <v>169</v>
      </c>
      <c r="L1498" s="1" t="s">
        <v>12</v>
      </c>
      <c r="M1498" s="1" t="s">
        <v>12</v>
      </c>
      <c r="N1498" s="1">
        <v>33.18</v>
      </c>
      <c r="O1498" s="1" t="s">
        <v>17</v>
      </c>
      <c r="P1498" s="1">
        <v>-2.0499999999999998</v>
      </c>
      <c r="Q1498" s="1" t="s">
        <v>16</v>
      </c>
      <c r="R1498" s="1" t="str">
        <f>IF(N1498="","",VLOOKUP(N1498,Prior_levels,2,TRUE))</f>
        <v>H</v>
      </c>
    </row>
    <row r="1499" spans="1:18" x14ac:dyDescent="0.2">
      <c r="A1499" s="1" t="s">
        <v>170</v>
      </c>
      <c r="B1499" s="1" t="s">
        <v>12</v>
      </c>
      <c r="C1499" s="2">
        <v>41155</v>
      </c>
      <c r="D1499" s="1">
        <v>10</v>
      </c>
      <c r="E1499" s="1" t="s">
        <v>52</v>
      </c>
      <c r="I1499" s="1" t="s">
        <v>12</v>
      </c>
      <c r="J1499" s="1" t="s">
        <v>171</v>
      </c>
      <c r="K1499" s="1" t="s">
        <v>169</v>
      </c>
      <c r="L1499" s="1" t="s">
        <v>12</v>
      </c>
      <c r="M1499" s="1" t="s">
        <v>12</v>
      </c>
      <c r="N1499" s="1">
        <v>33.18</v>
      </c>
      <c r="O1499" s="1" t="s">
        <v>18</v>
      </c>
      <c r="P1499" s="1">
        <v>10</v>
      </c>
      <c r="Q1499" s="1" t="s">
        <v>16</v>
      </c>
      <c r="R1499" s="1" t="str">
        <f>IF(N1499="","",VLOOKUP(N1499,Prior_levels,2,TRUE))</f>
        <v>H</v>
      </c>
    </row>
    <row r="1500" spans="1:18" x14ac:dyDescent="0.2">
      <c r="A1500" s="1" t="s">
        <v>170</v>
      </c>
      <c r="B1500" s="1" t="s">
        <v>12</v>
      </c>
      <c r="C1500" s="2">
        <v>41155</v>
      </c>
      <c r="D1500" s="1">
        <v>10</v>
      </c>
      <c r="E1500" s="1" t="s">
        <v>52</v>
      </c>
      <c r="I1500" s="1" t="s">
        <v>12</v>
      </c>
      <c r="J1500" s="1" t="s">
        <v>171</v>
      </c>
      <c r="K1500" s="1" t="s">
        <v>169</v>
      </c>
      <c r="L1500" s="1" t="s">
        <v>12</v>
      </c>
      <c r="M1500" s="1" t="s">
        <v>12</v>
      </c>
      <c r="N1500" s="1">
        <v>33.18</v>
      </c>
      <c r="O1500" s="1" t="s">
        <v>19</v>
      </c>
      <c r="P1500" s="1">
        <v>10</v>
      </c>
      <c r="Q1500" s="1" t="s">
        <v>16</v>
      </c>
      <c r="R1500" s="1" t="str">
        <f>IF(N1500="","",VLOOKUP(N1500,Prior_levels,2,TRUE))</f>
        <v>H</v>
      </c>
    </row>
    <row r="1501" spans="1:18" x14ac:dyDescent="0.2">
      <c r="A1501" s="1" t="s">
        <v>170</v>
      </c>
      <c r="B1501" s="1" t="s">
        <v>12</v>
      </c>
      <c r="C1501" s="2">
        <v>41155</v>
      </c>
      <c r="D1501" s="1">
        <v>10</v>
      </c>
      <c r="E1501" s="1" t="s">
        <v>52</v>
      </c>
      <c r="I1501" s="1" t="s">
        <v>12</v>
      </c>
      <c r="J1501" s="1" t="s">
        <v>171</v>
      </c>
      <c r="K1501" s="1" t="s">
        <v>169</v>
      </c>
      <c r="L1501" s="1" t="s">
        <v>12</v>
      </c>
      <c r="M1501" s="1" t="s">
        <v>12</v>
      </c>
      <c r="N1501" s="1">
        <v>33.18</v>
      </c>
      <c r="O1501" s="1" t="s">
        <v>20</v>
      </c>
      <c r="P1501" s="1">
        <v>12</v>
      </c>
      <c r="Q1501" s="1" t="s">
        <v>16</v>
      </c>
      <c r="R1501" s="1" t="str">
        <f>IF(N1501="","",VLOOKUP(N1501,Prior_levels,2,TRUE))</f>
        <v>H</v>
      </c>
    </row>
    <row r="1502" spans="1:18" x14ac:dyDescent="0.2">
      <c r="A1502" s="1" t="s">
        <v>170</v>
      </c>
      <c r="B1502" s="1" t="s">
        <v>12</v>
      </c>
      <c r="C1502" s="2">
        <v>41155</v>
      </c>
      <c r="D1502" s="1">
        <v>10</v>
      </c>
      <c r="E1502" s="1" t="s">
        <v>52</v>
      </c>
      <c r="I1502" s="1" t="s">
        <v>12</v>
      </c>
      <c r="J1502" s="1" t="s">
        <v>171</v>
      </c>
      <c r="K1502" s="1" t="s">
        <v>169</v>
      </c>
      <c r="L1502" s="1" t="s">
        <v>12</v>
      </c>
      <c r="M1502" s="1" t="s">
        <v>12</v>
      </c>
      <c r="N1502" s="1">
        <v>33.18</v>
      </c>
      <c r="O1502" s="1" t="s">
        <v>21</v>
      </c>
      <c r="P1502" s="1">
        <v>13</v>
      </c>
      <c r="Q1502" s="1" t="s">
        <v>16</v>
      </c>
      <c r="R1502" s="1" t="str">
        <f>IF(N1502="","",VLOOKUP(N1502,Prior_levels,2,TRUE))</f>
        <v>H</v>
      </c>
    </row>
    <row r="1503" spans="1:18" x14ac:dyDescent="0.2">
      <c r="A1503" s="1" t="s">
        <v>170</v>
      </c>
      <c r="B1503" s="1" t="s">
        <v>12</v>
      </c>
      <c r="C1503" s="2">
        <v>41155</v>
      </c>
      <c r="D1503" s="1">
        <v>10</v>
      </c>
      <c r="E1503" s="1" t="s">
        <v>52</v>
      </c>
      <c r="I1503" s="1" t="s">
        <v>12</v>
      </c>
      <c r="J1503" s="1" t="s">
        <v>171</v>
      </c>
      <c r="K1503" s="1" t="s">
        <v>169</v>
      </c>
      <c r="L1503" s="1" t="s">
        <v>12</v>
      </c>
      <c r="M1503" s="1" t="s">
        <v>12</v>
      </c>
      <c r="N1503" s="1">
        <v>33.18</v>
      </c>
      <c r="O1503" s="1" t="s">
        <v>22</v>
      </c>
      <c r="P1503" s="1">
        <v>-1.64</v>
      </c>
      <c r="Q1503" s="1" t="s">
        <v>16</v>
      </c>
      <c r="R1503" s="1" t="str">
        <f>IF(N1503="","",VLOOKUP(N1503,Prior_levels,2,TRUE))</f>
        <v>H</v>
      </c>
    </row>
    <row r="1504" spans="1:18" x14ac:dyDescent="0.2">
      <c r="A1504" s="1" t="s">
        <v>170</v>
      </c>
      <c r="B1504" s="1" t="s">
        <v>12</v>
      </c>
      <c r="C1504" s="2">
        <v>41155</v>
      </c>
      <c r="D1504" s="1">
        <v>10</v>
      </c>
      <c r="E1504" s="1" t="s">
        <v>52</v>
      </c>
      <c r="I1504" s="1" t="s">
        <v>12</v>
      </c>
      <c r="J1504" s="1" t="s">
        <v>171</v>
      </c>
      <c r="K1504" s="1" t="s">
        <v>169</v>
      </c>
      <c r="L1504" s="1" t="s">
        <v>12</v>
      </c>
      <c r="M1504" s="1" t="s">
        <v>12</v>
      </c>
      <c r="N1504" s="1">
        <v>33.18</v>
      </c>
      <c r="O1504" s="1" t="s">
        <v>23</v>
      </c>
      <c r="P1504" s="1">
        <v>-1.66</v>
      </c>
      <c r="Q1504" s="1" t="s">
        <v>16</v>
      </c>
      <c r="R1504" s="1" t="str">
        <f>IF(N1504="","",VLOOKUP(N1504,Prior_levels,2,TRUE))</f>
        <v>H</v>
      </c>
    </row>
    <row r="1505" spans="1:18" x14ac:dyDescent="0.2">
      <c r="A1505" s="1" t="s">
        <v>170</v>
      </c>
      <c r="B1505" s="1" t="s">
        <v>12</v>
      </c>
      <c r="C1505" s="2">
        <v>41155</v>
      </c>
      <c r="D1505" s="1">
        <v>10</v>
      </c>
      <c r="E1505" s="1" t="s">
        <v>52</v>
      </c>
      <c r="I1505" s="1" t="s">
        <v>12</v>
      </c>
      <c r="J1505" s="1" t="s">
        <v>171</v>
      </c>
      <c r="K1505" s="1" t="s">
        <v>169</v>
      </c>
      <c r="L1505" s="1" t="s">
        <v>12</v>
      </c>
      <c r="M1505" s="1" t="s">
        <v>12</v>
      </c>
      <c r="N1505" s="1">
        <v>33.18</v>
      </c>
      <c r="O1505" s="1" t="s">
        <v>25</v>
      </c>
      <c r="P1505" s="1">
        <v>-6.62</v>
      </c>
      <c r="Q1505" s="1" t="s">
        <v>16</v>
      </c>
      <c r="R1505" s="1" t="str">
        <f>IF(N1505="","",VLOOKUP(N1505,Prior_levels,2,TRUE))</f>
        <v>H</v>
      </c>
    </row>
    <row r="1506" spans="1:18" x14ac:dyDescent="0.2">
      <c r="A1506" s="1" t="s">
        <v>170</v>
      </c>
      <c r="B1506" s="1" t="s">
        <v>12</v>
      </c>
      <c r="C1506" s="2">
        <v>41155</v>
      </c>
      <c r="D1506" s="1">
        <v>10</v>
      </c>
      <c r="E1506" s="1" t="s">
        <v>52</v>
      </c>
      <c r="I1506" s="1" t="s">
        <v>12</v>
      </c>
      <c r="J1506" s="1" t="s">
        <v>171</v>
      </c>
      <c r="K1506" s="1" t="s">
        <v>169</v>
      </c>
      <c r="L1506" s="1" t="s">
        <v>12</v>
      </c>
      <c r="M1506" s="1" t="s">
        <v>12</v>
      </c>
      <c r="N1506" s="1">
        <v>33.18</v>
      </c>
      <c r="O1506" s="1" t="s">
        <v>26</v>
      </c>
      <c r="P1506" s="1">
        <v>10</v>
      </c>
      <c r="Q1506" s="1" t="s">
        <v>16</v>
      </c>
      <c r="R1506" s="1" t="str">
        <f>IF(N1506="","",VLOOKUP(N1506,Prior_levels,2,TRUE))</f>
        <v>H</v>
      </c>
    </row>
    <row r="1507" spans="1:18" x14ac:dyDescent="0.2">
      <c r="A1507" s="1" t="s">
        <v>170</v>
      </c>
      <c r="B1507" s="1" t="s">
        <v>12</v>
      </c>
      <c r="C1507" s="2">
        <v>41155</v>
      </c>
      <c r="D1507" s="1">
        <v>10</v>
      </c>
      <c r="E1507" s="1" t="s">
        <v>52</v>
      </c>
      <c r="I1507" s="1" t="s">
        <v>12</v>
      </c>
      <c r="J1507" s="1" t="s">
        <v>171</v>
      </c>
      <c r="K1507" s="1" t="s">
        <v>169</v>
      </c>
      <c r="L1507" s="1" t="s">
        <v>12</v>
      </c>
      <c r="M1507" s="1" t="s">
        <v>12</v>
      </c>
      <c r="N1507" s="1">
        <v>33.18</v>
      </c>
      <c r="O1507" s="1" t="s">
        <v>24</v>
      </c>
      <c r="P1507" s="1">
        <v>-7.27</v>
      </c>
      <c r="Q1507" s="1" t="s">
        <v>16</v>
      </c>
      <c r="R1507" s="1" t="str">
        <f>IF(N1507="","",VLOOKUP(N1507,Prior_levels,2,TRUE))</f>
        <v>H</v>
      </c>
    </row>
    <row r="1508" spans="1:18" x14ac:dyDescent="0.2">
      <c r="A1508" s="1" t="s">
        <v>170</v>
      </c>
      <c r="B1508" s="1" t="s">
        <v>12</v>
      </c>
      <c r="C1508" s="2">
        <v>41155</v>
      </c>
      <c r="D1508" s="1">
        <v>10</v>
      </c>
      <c r="E1508" s="1" t="s">
        <v>52</v>
      </c>
      <c r="I1508" s="1" t="s">
        <v>12</v>
      </c>
      <c r="J1508" s="1" t="s">
        <v>171</v>
      </c>
      <c r="K1508" s="1" t="s">
        <v>169</v>
      </c>
      <c r="L1508" s="1" t="s">
        <v>12</v>
      </c>
      <c r="M1508" s="1" t="s">
        <v>12</v>
      </c>
      <c r="N1508" s="1">
        <v>33.18</v>
      </c>
      <c r="O1508" s="1" t="s">
        <v>32</v>
      </c>
      <c r="P1508" s="1" t="s">
        <v>37</v>
      </c>
      <c r="Q1508" s="1" t="s">
        <v>16</v>
      </c>
      <c r="R1508" s="1" t="str">
        <f>IF(N1508="","",VLOOKUP(N1508,Prior_levels,2,TRUE))</f>
        <v>H</v>
      </c>
    </row>
    <row r="1509" spans="1:18" x14ac:dyDescent="0.2">
      <c r="A1509" s="1" t="s">
        <v>170</v>
      </c>
      <c r="B1509" s="1" t="s">
        <v>12</v>
      </c>
      <c r="C1509" s="2">
        <v>41155</v>
      </c>
      <c r="D1509" s="1">
        <v>10</v>
      </c>
      <c r="E1509" s="1" t="s">
        <v>52</v>
      </c>
      <c r="I1509" s="1" t="s">
        <v>12</v>
      </c>
      <c r="J1509" s="1" t="s">
        <v>171</v>
      </c>
      <c r="K1509" s="1" t="s">
        <v>169</v>
      </c>
      <c r="L1509" s="1" t="s">
        <v>12</v>
      </c>
      <c r="M1509" s="1" t="s">
        <v>12</v>
      </c>
      <c r="N1509" s="1">
        <v>33.18</v>
      </c>
      <c r="O1509" s="1" t="s">
        <v>27</v>
      </c>
      <c r="P1509" s="1" t="s">
        <v>37</v>
      </c>
      <c r="Q1509" s="1" t="s">
        <v>16</v>
      </c>
      <c r="R1509" s="1" t="str">
        <f>IF(N1509="","",VLOOKUP(N1509,Prior_levels,2,TRUE))</f>
        <v>H</v>
      </c>
    </row>
    <row r="1510" spans="1:18" x14ac:dyDescent="0.2">
      <c r="A1510" s="1" t="s">
        <v>170</v>
      </c>
      <c r="B1510" s="1" t="s">
        <v>12</v>
      </c>
      <c r="C1510" s="2">
        <v>41155</v>
      </c>
      <c r="D1510" s="1">
        <v>10</v>
      </c>
      <c r="E1510" s="1" t="s">
        <v>52</v>
      </c>
      <c r="I1510" s="1" t="s">
        <v>12</v>
      </c>
      <c r="J1510" s="1" t="s">
        <v>171</v>
      </c>
      <c r="K1510" s="1" t="s">
        <v>169</v>
      </c>
      <c r="L1510" s="1" t="s">
        <v>12</v>
      </c>
      <c r="M1510" s="1" t="s">
        <v>12</v>
      </c>
      <c r="N1510" s="1">
        <v>33.18</v>
      </c>
      <c r="O1510" s="1" t="s">
        <v>29</v>
      </c>
      <c r="P1510" s="1" t="s">
        <v>37</v>
      </c>
      <c r="Q1510" s="1" t="s">
        <v>16</v>
      </c>
      <c r="R1510" s="1" t="str">
        <f>IF(N1510="","",VLOOKUP(N1510,Prior_levels,2,TRUE))</f>
        <v>H</v>
      </c>
    </row>
    <row r="1511" spans="1:18" x14ac:dyDescent="0.2">
      <c r="A1511" s="1" t="s">
        <v>170</v>
      </c>
      <c r="B1511" s="1" t="s">
        <v>12</v>
      </c>
      <c r="C1511" s="2">
        <v>41155</v>
      </c>
      <c r="D1511" s="1">
        <v>10</v>
      </c>
      <c r="E1511" s="1" t="s">
        <v>52</v>
      </c>
      <c r="I1511" s="1" t="s">
        <v>12</v>
      </c>
      <c r="J1511" s="1" t="s">
        <v>171</v>
      </c>
      <c r="K1511" s="1" t="s">
        <v>169</v>
      </c>
      <c r="L1511" s="1" t="s">
        <v>12</v>
      </c>
      <c r="M1511" s="1" t="s">
        <v>12</v>
      </c>
      <c r="N1511" s="1">
        <v>33.18</v>
      </c>
      <c r="O1511" s="1" t="s">
        <v>30</v>
      </c>
      <c r="P1511" s="1" t="s">
        <v>37</v>
      </c>
      <c r="Q1511" s="1" t="s">
        <v>16</v>
      </c>
      <c r="R1511" s="1" t="str">
        <f>IF(N1511="","",VLOOKUP(N1511,Prior_levels,2,TRUE))</f>
        <v>H</v>
      </c>
    </row>
    <row r="1512" spans="1:18" x14ac:dyDescent="0.2">
      <c r="A1512" s="1" t="s">
        <v>170</v>
      </c>
      <c r="B1512" s="1" t="s">
        <v>12</v>
      </c>
      <c r="C1512" s="2">
        <v>41155</v>
      </c>
      <c r="D1512" s="1">
        <v>10</v>
      </c>
      <c r="E1512" s="1" t="s">
        <v>52</v>
      </c>
      <c r="I1512" s="1" t="s">
        <v>12</v>
      </c>
      <c r="J1512" s="1" t="s">
        <v>171</v>
      </c>
      <c r="K1512" s="1" t="s">
        <v>169</v>
      </c>
      <c r="L1512" s="1" t="s">
        <v>12</v>
      </c>
      <c r="M1512" s="1" t="s">
        <v>12</v>
      </c>
      <c r="N1512" s="1">
        <v>33.18</v>
      </c>
      <c r="O1512" s="1" t="s">
        <v>31</v>
      </c>
      <c r="P1512" s="1" t="s">
        <v>37</v>
      </c>
      <c r="Q1512" s="1" t="s">
        <v>16</v>
      </c>
      <c r="R1512" s="1" t="str">
        <f>IF(N1512="","",VLOOKUP(N1512,Prior_levels,2,TRUE))</f>
        <v>H</v>
      </c>
    </row>
    <row r="1513" spans="1:18" x14ac:dyDescent="0.2">
      <c r="A1513" s="1" t="s">
        <v>172</v>
      </c>
      <c r="B1513" s="1" t="s">
        <v>10</v>
      </c>
      <c r="C1513" s="2">
        <v>41155</v>
      </c>
      <c r="D1513" s="1">
        <v>10</v>
      </c>
      <c r="E1513" s="1" t="s">
        <v>11</v>
      </c>
      <c r="H1513" s="1" t="s">
        <v>54</v>
      </c>
      <c r="I1513" s="1" t="s">
        <v>12</v>
      </c>
      <c r="J1513" s="1" t="s">
        <v>118</v>
      </c>
      <c r="K1513" s="1" t="s">
        <v>14</v>
      </c>
      <c r="L1513" s="1" t="s">
        <v>12</v>
      </c>
      <c r="M1513" s="1" t="s">
        <v>12</v>
      </c>
      <c r="N1513" s="1">
        <v>24.12</v>
      </c>
      <c r="O1513" s="1" t="s">
        <v>15</v>
      </c>
      <c r="P1513" s="1">
        <v>3.2</v>
      </c>
      <c r="Q1513" s="1" t="s">
        <v>16</v>
      </c>
      <c r="R1513" s="1" t="str">
        <f>IF(N1513="","",VLOOKUP(N1513,Prior_levels,2,TRUE))</f>
        <v>M</v>
      </c>
    </row>
    <row r="1514" spans="1:18" x14ac:dyDescent="0.2">
      <c r="A1514" s="1" t="s">
        <v>172</v>
      </c>
      <c r="B1514" s="1" t="s">
        <v>10</v>
      </c>
      <c r="C1514" s="2">
        <v>41155</v>
      </c>
      <c r="D1514" s="1">
        <v>10</v>
      </c>
      <c r="E1514" s="1" t="s">
        <v>11</v>
      </c>
      <c r="H1514" s="1" t="s">
        <v>54</v>
      </c>
      <c r="I1514" s="1" t="s">
        <v>12</v>
      </c>
      <c r="J1514" s="1" t="s">
        <v>118</v>
      </c>
      <c r="K1514" s="1" t="s">
        <v>14</v>
      </c>
      <c r="L1514" s="1" t="s">
        <v>12</v>
      </c>
      <c r="M1514" s="1" t="s">
        <v>12</v>
      </c>
      <c r="N1514" s="1">
        <v>24.12</v>
      </c>
      <c r="O1514" s="1" t="s">
        <v>17</v>
      </c>
      <c r="P1514" s="1">
        <v>-0.41</v>
      </c>
      <c r="Q1514" s="1" t="s">
        <v>16</v>
      </c>
      <c r="R1514" s="1" t="str">
        <f>IF(N1514="","",VLOOKUP(N1514,Prior_levels,2,TRUE))</f>
        <v>M</v>
      </c>
    </row>
    <row r="1515" spans="1:18" x14ac:dyDescent="0.2">
      <c r="A1515" s="1" t="s">
        <v>172</v>
      </c>
      <c r="B1515" s="1" t="s">
        <v>10</v>
      </c>
      <c r="C1515" s="2">
        <v>41155</v>
      </c>
      <c r="D1515" s="1">
        <v>10</v>
      </c>
      <c r="E1515" s="1" t="s">
        <v>11</v>
      </c>
      <c r="H1515" s="1" t="s">
        <v>54</v>
      </c>
      <c r="I1515" s="1" t="s">
        <v>12</v>
      </c>
      <c r="J1515" s="1" t="s">
        <v>118</v>
      </c>
      <c r="K1515" s="1" t="s">
        <v>14</v>
      </c>
      <c r="L1515" s="1" t="s">
        <v>12</v>
      </c>
      <c r="M1515" s="1" t="s">
        <v>12</v>
      </c>
      <c r="N1515" s="1">
        <v>24.12</v>
      </c>
      <c r="O1515" s="1" t="s">
        <v>18</v>
      </c>
      <c r="P1515" s="1">
        <v>6</v>
      </c>
      <c r="Q1515" s="1" t="s">
        <v>16</v>
      </c>
      <c r="R1515" s="1" t="str">
        <f>IF(N1515="","",VLOOKUP(N1515,Prior_levels,2,TRUE))</f>
        <v>M</v>
      </c>
    </row>
    <row r="1516" spans="1:18" x14ac:dyDescent="0.2">
      <c r="A1516" s="1" t="s">
        <v>172</v>
      </c>
      <c r="B1516" s="1" t="s">
        <v>10</v>
      </c>
      <c r="C1516" s="2">
        <v>41155</v>
      </c>
      <c r="D1516" s="1">
        <v>10</v>
      </c>
      <c r="E1516" s="1" t="s">
        <v>11</v>
      </c>
      <c r="H1516" s="1" t="s">
        <v>54</v>
      </c>
      <c r="I1516" s="1" t="s">
        <v>12</v>
      </c>
      <c r="J1516" s="1" t="s">
        <v>118</v>
      </c>
      <c r="K1516" s="1" t="s">
        <v>14</v>
      </c>
      <c r="L1516" s="1" t="s">
        <v>12</v>
      </c>
      <c r="M1516" s="1" t="s">
        <v>12</v>
      </c>
      <c r="N1516" s="1">
        <v>24.12</v>
      </c>
      <c r="O1516" s="1" t="s">
        <v>19</v>
      </c>
      <c r="P1516" s="1">
        <v>8</v>
      </c>
      <c r="Q1516" s="1" t="s">
        <v>16</v>
      </c>
      <c r="R1516" s="1" t="str">
        <f>IF(N1516="","",VLOOKUP(N1516,Prior_levels,2,TRUE))</f>
        <v>M</v>
      </c>
    </row>
    <row r="1517" spans="1:18" x14ac:dyDescent="0.2">
      <c r="A1517" s="1" t="s">
        <v>172</v>
      </c>
      <c r="B1517" s="1" t="s">
        <v>10</v>
      </c>
      <c r="C1517" s="2">
        <v>41155</v>
      </c>
      <c r="D1517" s="1">
        <v>10</v>
      </c>
      <c r="E1517" s="1" t="s">
        <v>11</v>
      </c>
      <c r="H1517" s="1" t="s">
        <v>54</v>
      </c>
      <c r="I1517" s="1" t="s">
        <v>12</v>
      </c>
      <c r="J1517" s="1" t="s">
        <v>118</v>
      </c>
      <c r="K1517" s="1" t="s">
        <v>14</v>
      </c>
      <c r="L1517" s="1" t="s">
        <v>12</v>
      </c>
      <c r="M1517" s="1" t="s">
        <v>12</v>
      </c>
      <c r="N1517" s="1">
        <v>24.12</v>
      </c>
      <c r="O1517" s="1" t="s">
        <v>20</v>
      </c>
      <c r="P1517" s="1">
        <v>9</v>
      </c>
      <c r="Q1517" s="1" t="s">
        <v>16</v>
      </c>
      <c r="R1517" s="1" t="str">
        <f>IF(N1517="","",VLOOKUP(N1517,Prior_levels,2,TRUE))</f>
        <v>M</v>
      </c>
    </row>
    <row r="1518" spans="1:18" x14ac:dyDescent="0.2">
      <c r="A1518" s="1" t="s">
        <v>172</v>
      </c>
      <c r="B1518" s="1" t="s">
        <v>10</v>
      </c>
      <c r="C1518" s="2">
        <v>41155</v>
      </c>
      <c r="D1518" s="1">
        <v>10</v>
      </c>
      <c r="E1518" s="1" t="s">
        <v>11</v>
      </c>
      <c r="H1518" s="1" t="s">
        <v>54</v>
      </c>
      <c r="I1518" s="1" t="s">
        <v>12</v>
      </c>
      <c r="J1518" s="1" t="s">
        <v>118</v>
      </c>
      <c r="K1518" s="1" t="s">
        <v>14</v>
      </c>
      <c r="L1518" s="1" t="s">
        <v>12</v>
      </c>
      <c r="M1518" s="1" t="s">
        <v>12</v>
      </c>
      <c r="N1518" s="1">
        <v>24.12</v>
      </c>
      <c r="O1518" s="1" t="s">
        <v>21</v>
      </c>
      <c r="P1518" s="1">
        <v>9</v>
      </c>
      <c r="Q1518" s="1" t="s">
        <v>16</v>
      </c>
      <c r="R1518" s="1" t="str">
        <f>IF(N1518="","",VLOOKUP(N1518,Prior_levels,2,TRUE))</f>
        <v>M</v>
      </c>
    </row>
    <row r="1519" spans="1:18" x14ac:dyDescent="0.2">
      <c r="A1519" s="1" t="s">
        <v>172</v>
      </c>
      <c r="B1519" s="1" t="s">
        <v>10</v>
      </c>
      <c r="C1519" s="2">
        <v>41155</v>
      </c>
      <c r="D1519" s="1">
        <v>10</v>
      </c>
      <c r="E1519" s="1" t="s">
        <v>11</v>
      </c>
      <c r="H1519" s="1" t="s">
        <v>54</v>
      </c>
      <c r="I1519" s="1" t="s">
        <v>12</v>
      </c>
      <c r="J1519" s="1" t="s">
        <v>118</v>
      </c>
      <c r="K1519" s="1" t="s">
        <v>14</v>
      </c>
      <c r="L1519" s="1" t="s">
        <v>12</v>
      </c>
      <c r="M1519" s="1" t="s">
        <v>12</v>
      </c>
      <c r="N1519" s="1">
        <v>24.12</v>
      </c>
      <c r="O1519" s="1" t="s">
        <v>22</v>
      </c>
      <c r="P1519" s="1">
        <v>-1.32</v>
      </c>
      <c r="Q1519" s="1" t="s">
        <v>16</v>
      </c>
      <c r="R1519" s="1" t="str">
        <f>IF(N1519="","",VLOOKUP(N1519,Prior_levels,2,TRUE))</f>
        <v>M</v>
      </c>
    </row>
    <row r="1520" spans="1:18" x14ac:dyDescent="0.2">
      <c r="A1520" s="1" t="s">
        <v>172</v>
      </c>
      <c r="B1520" s="1" t="s">
        <v>10</v>
      </c>
      <c r="C1520" s="2">
        <v>41155</v>
      </c>
      <c r="D1520" s="1">
        <v>10</v>
      </c>
      <c r="E1520" s="1" t="s">
        <v>11</v>
      </c>
      <c r="H1520" s="1" t="s">
        <v>54</v>
      </c>
      <c r="I1520" s="1" t="s">
        <v>12</v>
      </c>
      <c r="J1520" s="1" t="s">
        <v>118</v>
      </c>
      <c r="K1520" s="1" t="s">
        <v>14</v>
      </c>
      <c r="L1520" s="1" t="s">
        <v>12</v>
      </c>
      <c r="M1520" s="1" t="s">
        <v>12</v>
      </c>
      <c r="N1520" s="1">
        <v>24.12</v>
      </c>
      <c r="O1520" s="1" t="s">
        <v>23</v>
      </c>
      <c r="P1520" s="1">
        <v>0.34</v>
      </c>
      <c r="Q1520" s="1" t="s">
        <v>16</v>
      </c>
      <c r="R1520" s="1" t="str">
        <f>IF(N1520="","",VLOOKUP(N1520,Prior_levels,2,TRUE))</f>
        <v>M</v>
      </c>
    </row>
    <row r="1521" spans="1:18" x14ac:dyDescent="0.2">
      <c r="A1521" s="1" t="s">
        <v>172</v>
      </c>
      <c r="B1521" s="1" t="s">
        <v>10</v>
      </c>
      <c r="C1521" s="2">
        <v>41155</v>
      </c>
      <c r="D1521" s="1">
        <v>10</v>
      </c>
      <c r="E1521" s="1" t="s">
        <v>11</v>
      </c>
      <c r="H1521" s="1" t="s">
        <v>54</v>
      </c>
      <c r="I1521" s="1" t="s">
        <v>12</v>
      </c>
      <c r="J1521" s="1" t="s">
        <v>118</v>
      </c>
      <c r="K1521" s="1" t="s">
        <v>14</v>
      </c>
      <c r="L1521" s="1" t="s">
        <v>12</v>
      </c>
      <c r="M1521" s="1" t="s">
        <v>12</v>
      </c>
      <c r="N1521" s="1">
        <v>24.12</v>
      </c>
      <c r="O1521" s="1" t="s">
        <v>25</v>
      </c>
      <c r="P1521" s="1">
        <v>-3.92</v>
      </c>
      <c r="Q1521" s="1" t="s">
        <v>16</v>
      </c>
      <c r="R1521" s="1" t="str">
        <f>IF(N1521="","",VLOOKUP(N1521,Prior_levels,2,TRUE))</f>
        <v>M</v>
      </c>
    </row>
    <row r="1522" spans="1:18" x14ac:dyDescent="0.2">
      <c r="A1522" s="1" t="s">
        <v>172</v>
      </c>
      <c r="B1522" s="1" t="s">
        <v>10</v>
      </c>
      <c r="C1522" s="2">
        <v>41155</v>
      </c>
      <c r="D1522" s="1">
        <v>10</v>
      </c>
      <c r="E1522" s="1" t="s">
        <v>11</v>
      </c>
      <c r="H1522" s="1" t="s">
        <v>54</v>
      </c>
      <c r="I1522" s="1" t="s">
        <v>12</v>
      </c>
      <c r="J1522" s="1" t="s">
        <v>118</v>
      </c>
      <c r="K1522" s="1" t="s">
        <v>14</v>
      </c>
      <c r="L1522" s="1" t="s">
        <v>12</v>
      </c>
      <c r="M1522" s="1" t="s">
        <v>12</v>
      </c>
      <c r="N1522" s="1">
        <v>24.12</v>
      </c>
      <c r="O1522" s="1" t="s">
        <v>26</v>
      </c>
      <c r="P1522" s="1">
        <v>1</v>
      </c>
      <c r="Q1522" s="1" t="s">
        <v>16</v>
      </c>
      <c r="R1522" s="1" t="str">
        <f>IF(N1522="","",VLOOKUP(N1522,Prior_levels,2,TRUE))</f>
        <v>M</v>
      </c>
    </row>
    <row r="1523" spans="1:18" x14ac:dyDescent="0.2">
      <c r="A1523" s="1" t="s">
        <v>172</v>
      </c>
      <c r="B1523" s="1" t="s">
        <v>10</v>
      </c>
      <c r="C1523" s="2">
        <v>41155</v>
      </c>
      <c r="D1523" s="1">
        <v>10</v>
      </c>
      <c r="E1523" s="1" t="s">
        <v>11</v>
      </c>
      <c r="H1523" s="1" t="s">
        <v>54</v>
      </c>
      <c r="I1523" s="1" t="s">
        <v>12</v>
      </c>
      <c r="J1523" s="1" t="s">
        <v>118</v>
      </c>
      <c r="K1523" s="1" t="s">
        <v>14</v>
      </c>
      <c r="L1523" s="1" t="s">
        <v>12</v>
      </c>
      <c r="M1523" s="1" t="s">
        <v>12</v>
      </c>
      <c r="N1523" s="1">
        <v>24.12</v>
      </c>
      <c r="O1523" s="1" t="s">
        <v>24</v>
      </c>
      <c r="P1523" s="1">
        <v>1.74</v>
      </c>
      <c r="Q1523" s="1" t="s">
        <v>16</v>
      </c>
      <c r="R1523" s="1" t="str">
        <f>IF(N1523="","",VLOOKUP(N1523,Prior_levels,2,TRUE))</f>
        <v>M</v>
      </c>
    </row>
    <row r="1524" spans="1:18" x14ac:dyDescent="0.2">
      <c r="A1524" s="1" t="s">
        <v>172</v>
      </c>
      <c r="B1524" s="1" t="s">
        <v>10</v>
      </c>
      <c r="C1524" s="2">
        <v>41155</v>
      </c>
      <c r="D1524" s="1">
        <v>10</v>
      </c>
      <c r="E1524" s="1" t="s">
        <v>11</v>
      </c>
      <c r="H1524" s="1" t="s">
        <v>54</v>
      </c>
      <c r="I1524" s="1" t="s">
        <v>12</v>
      </c>
      <c r="J1524" s="1" t="s">
        <v>118</v>
      </c>
      <c r="K1524" s="1" t="s">
        <v>14</v>
      </c>
      <c r="L1524" s="1" t="s">
        <v>12</v>
      </c>
      <c r="M1524" s="1" t="s">
        <v>12</v>
      </c>
      <c r="N1524" s="1">
        <v>24.12</v>
      </c>
      <c r="O1524" s="1" t="s">
        <v>32</v>
      </c>
      <c r="P1524" s="1" t="s">
        <v>28</v>
      </c>
      <c r="Q1524" s="1" t="s">
        <v>16</v>
      </c>
      <c r="R1524" s="1" t="str">
        <f>IF(N1524="","",VLOOKUP(N1524,Prior_levels,2,TRUE))</f>
        <v>M</v>
      </c>
    </row>
    <row r="1525" spans="1:18" x14ac:dyDescent="0.2">
      <c r="A1525" s="1" t="s">
        <v>172</v>
      </c>
      <c r="B1525" s="1" t="s">
        <v>10</v>
      </c>
      <c r="C1525" s="2">
        <v>41155</v>
      </c>
      <c r="D1525" s="1">
        <v>10</v>
      </c>
      <c r="E1525" s="1" t="s">
        <v>11</v>
      </c>
      <c r="H1525" s="1" t="s">
        <v>54</v>
      </c>
      <c r="I1525" s="1" t="s">
        <v>12</v>
      </c>
      <c r="J1525" s="1" t="s">
        <v>118</v>
      </c>
      <c r="K1525" s="1" t="s">
        <v>14</v>
      </c>
      <c r="L1525" s="1" t="s">
        <v>12</v>
      </c>
      <c r="M1525" s="1" t="s">
        <v>12</v>
      </c>
      <c r="N1525" s="1">
        <v>24.12</v>
      </c>
      <c r="O1525" s="1" t="s">
        <v>27</v>
      </c>
      <c r="P1525" s="1" t="s">
        <v>28</v>
      </c>
      <c r="Q1525" s="1" t="s">
        <v>16</v>
      </c>
      <c r="R1525" s="1" t="str">
        <f>IF(N1525="","",VLOOKUP(N1525,Prior_levels,2,TRUE))</f>
        <v>M</v>
      </c>
    </row>
    <row r="1526" spans="1:18" x14ac:dyDescent="0.2">
      <c r="A1526" s="1" t="s">
        <v>172</v>
      </c>
      <c r="B1526" s="1" t="s">
        <v>10</v>
      </c>
      <c r="C1526" s="2">
        <v>41155</v>
      </c>
      <c r="D1526" s="1">
        <v>10</v>
      </c>
      <c r="E1526" s="1" t="s">
        <v>11</v>
      </c>
      <c r="H1526" s="1" t="s">
        <v>54</v>
      </c>
      <c r="I1526" s="1" t="s">
        <v>12</v>
      </c>
      <c r="J1526" s="1" t="s">
        <v>118</v>
      </c>
      <c r="K1526" s="1" t="s">
        <v>14</v>
      </c>
      <c r="L1526" s="1" t="s">
        <v>12</v>
      </c>
      <c r="M1526" s="1" t="s">
        <v>12</v>
      </c>
      <c r="N1526" s="1">
        <v>24.12</v>
      </c>
      <c r="O1526" s="1" t="s">
        <v>29</v>
      </c>
      <c r="P1526" s="1" t="s">
        <v>28</v>
      </c>
      <c r="Q1526" s="1" t="s">
        <v>16</v>
      </c>
      <c r="R1526" s="1" t="str">
        <f>IF(N1526="","",VLOOKUP(N1526,Prior_levels,2,TRUE))</f>
        <v>M</v>
      </c>
    </row>
    <row r="1527" spans="1:18" x14ac:dyDescent="0.2">
      <c r="A1527" s="1" t="s">
        <v>172</v>
      </c>
      <c r="B1527" s="1" t="s">
        <v>10</v>
      </c>
      <c r="C1527" s="2">
        <v>41155</v>
      </c>
      <c r="D1527" s="1">
        <v>10</v>
      </c>
      <c r="E1527" s="1" t="s">
        <v>11</v>
      </c>
      <c r="H1527" s="1" t="s">
        <v>54</v>
      </c>
      <c r="I1527" s="1" t="s">
        <v>12</v>
      </c>
      <c r="J1527" s="1" t="s">
        <v>118</v>
      </c>
      <c r="K1527" s="1" t="s">
        <v>14</v>
      </c>
      <c r="L1527" s="1" t="s">
        <v>12</v>
      </c>
      <c r="M1527" s="1" t="s">
        <v>12</v>
      </c>
      <c r="N1527" s="1">
        <v>24.12</v>
      </c>
      <c r="O1527" s="1" t="s">
        <v>30</v>
      </c>
      <c r="P1527" s="1" t="s">
        <v>28</v>
      </c>
      <c r="Q1527" s="1" t="s">
        <v>16</v>
      </c>
      <c r="R1527" s="1" t="str">
        <f>IF(N1527="","",VLOOKUP(N1527,Prior_levels,2,TRUE))</f>
        <v>M</v>
      </c>
    </row>
    <row r="1528" spans="1:18" x14ac:dyDescent="0.2">
      <c r="A1528" s="1" t="s">
        <v>172</v>
      </c>
      <c r="B1528" s="1" t="s">
        <v>10</v>
      </c>
      <c r="C1528" s="2">
        <v>41155</v>
      </c>
      <c r="D1528" s="1">
        <v>10</v>
      </c>
      <c r="E1528" s="1" t="s">
        <v>11</v>
      </c>
      <c r="H1528" s="1" t="s">
        <v>54</v>
      </c>
      <c r="I1528" s="1" t="s">
        <v>12</v>
      </c>
      <c r="J1528" s="1" t="s">
        <v>118</v>
      </c>
      <c r="K1528" s="1" t="s">
        <v>14</v>
      </c>
      <c r="L1528" s="1" t="s">
        <v>12</v>
      </c>
      <c r="M1528" s="1" t="s">
        <v>12</v>
      </c>
      <c r="N1528" s="1">
        <v>24.12</v>
      </c>
      <c r="O1528" s="1" t="s">
        <v>31</v>
      </c>
      <c r="P1528" s="1" t="s">
        <v>28</v>
      </c>
      <c r="Q1528" s="1" t="s">
        <v>16</v>
      </c>
      <c r="R1528" s="1" t="str">
        <f>IF(N1528="","",VLOOKUP(N1528,Prior_levels,2,TRUE))</f>
        <v>M</v>
      </c>
    </row>
    <row r="1529" spans="1:18" x14ac:dyDescent="0.2">
      <c r="A1529" s="1" t="s">
        <v>173</v>
      </c>
      <c r="B1529" s="1" t="s">
        <v>12</v>
      </c>
      <c r="C1529" s="2">
        <v>41155</v>
      </c>
      <c r="D1529" s="1">
        <v>10</v>
      </c>
      <c r="E1529" s="1" t="s">
        <v>11</v>
      </c>
      <c r="H1529" s="1" t="s">
        <v>54</v>
      </c>
      <c r="I1529" s="1" t="s">
        <v>12</v>
      </c>
      <c r="J1529" s="1" t="s">
        <v>40</v>
      </c>
      <c r="K1529" s="1" t="s">
        <v>14</v>
      </c>
      <c r="L1529" s="1" t="s">
        <v>12</v>
      </c>
      <c r="M1529" s="1" t="s">
        <v>12</v>
      </c>
      <c r="N1529" s="1">
        <v>27.12</v>
      </c>
      <c r="O1529" s="1" t="s">
        <v>15</v>
      </c>
      <c r="P1529" s="1">
        <v>4.5</v>
      </c>
      <c r="Q1529" s="1" t="s">
        <v>16</v>
      </c>
      <c r="R1529" s="1" t="str">
        <f>IF(N1529="","",VLOOKUP(N1529,Prior_levels,2,TRUE))</f>
        <v>M</v>
      </c>
    </row>
    <row r="1530" spans="1:18" x14ac:dyDescent="0.2">
      <c r="A1530" s="1" t="s">
        <v>173</v>
      </c>
      <c r="B1530" s="1" t="s">
        <v>12</v>
      </c>
      <c r="C1530" s="2">
        <v>41155</v>
      </c>
      <c r="D1530" s="1">
        <v>10</v>
      </c>
      <c r="E1530" s="1" t="s">
        <v>11</v>
      </c>
      <c r="H1530" s="1" t="s">
        <v>54</v>
      </c>
      <c r="I1530" s="1" t="s">
        <v>12</v>
      </c>
      <c r="J1530" s="1" t="s">
        <v>40</v>
      </c>
      <c r="K1530" s="1" t="s">
        <v>14</v>
      </c>
      <c r="L1530" s="1" t="s">
        <v>12</v>
      </c>
      <c r="M1530" s="1" t="s">
        <v>12</v>
      </c>
      <c r="N1530" s="1">
        <v>27.12</v>
      </c>
      <c r="O1530" s="1" t="s">
        <v>17</v>
      </c>
      <c r="P1530" s="1">
        <v>-0.05</v>
      </c>
      <c r="Q1530" s="1" t="s">
        <v>16</v>
      </c>
      <c r="R1530" s="1" t="str">
        <f>IF(N1530="","",VLOOKUP(N1530,Prior_levels,2,TRUE))</f>
        <v>M</v>
      </c>
    </row>
    <row r="1531" spans="1:18" x14ac:dyDescent="0.2">
      <c r="A1531" s="1" t="s">
        <v>173</v>
      </c>
      <c r="B1531" s="1" t="s">
        <v>12</v>
      </c>
      <c r="C1531" s="2">
        <v>41155</v>
      </c>
      <c r="D1531" s="1">
        <v>10</v>
      </c>
      <c r="E1531" s="1" t="s">
        <v>11</v>
      </c>
      <c r="H1531" s="1" t="s">
        <v>54</v>
      </c>
      <c r="I1531" s="1" t="s">
        <v>12</v>
      </c>
      <c r="J1531" s="1" t="s">
        <v>40</v>
      </c>
      <c r="K1531" s="1" t="s">
        <v>14</v>
      </c>
      <c r="L1531" s="1" t="s">
        <v>12</v>
      </c>
      <c r="M1531" s="1" t="s">
        <v>12</v>
      </c>
      <c r="N1531" s="1">
        <v>27.12</v>
      </c>
      <c r="O1531" s="1" t="s">
        <v>18</v>
      </c>
      <c r="P1531" s="1">
        <v>10</v>
      </c>
      <c r="Q1531" s="1" t="s">
        <v>16</v>
      </c>
      <c r="R1531" s="1" t="str">
        <f>IF(N1531="","",VLOOKUP(N1531,Prior_levels,2,TRUE))</f>
        <v>M</v>
      </c>
    </row>
    <row r="1532" spans="1:18" x14ac:dyDescent="0.2">
      <c r="A1532" s="1" t="s">
        <v>173</v>
      </c>
      <c r="B1532" s="1" t="s">
        <v>12</v>
      </c>
      <c r="C1532" s="2">
        <v>41155</v>
      </c>
      <c r="D1532" s="1">
        <v>10</v>
      </c>
      <c r="E1532" s="1" t="s">
        <v>11</v>
      </c>
      <c r="H1532" s="1" t="s">
        <v>54</v>
      </c>
      <c r="I1532" s="1" t="s">
        <v>12</v>
      </c>
      <c r="J1532" s="1" t="s">
        <v>40</v>
      </c>
      <c r="K1532" s="1" t="s">
        <v>14</v>
      </c>
      <c r="L1532" s="1" t="s">
        <v>12</v>
      </c>
      <c r="M1532" s="1" t="s">
        <v>12</v>
      </c>
      <c r="N1532" s="1">
        <v>27.12</v>
      </c>
      <c r="O1532" s="1" t="s">
        <v>19</v>
      </c>
      <c r="P1532" s="1">
        <v>10</v>
      </c>
      <c r="Q1532" s="1" t="s">
        <v>16</v>
      </c>
      <c r="R1532" s="1" t="str">
        <f>IF(N1532="","",VLOOKUP(N1532,Prior_levels,2,TRUE))</f>
        <v>M</v>
      </c>
    </row>
    <row r="1533" spans="1:18" x14ac:dyDescent="0.2">
      <c r="A1533" s="1" t="s">
        <v>173</v>
      </c>
      <c r="B1533" s="1" t="s">
        <v>12</v>
      </c>
      <c r="C1533" s="2">
        <v>41155</v>
      </c>
      <c r="D1533" s="1">
        <v>10</v>
      </c>
      <c r="E1533" s="1" t="s">
        <v>11</v>
      </c>
      <c r="H1533" s="1" t="s">
        <v>54</v>
      </c>
      <c r="I1533" s="1" t="s">
        <v>12</v>
      </c>
      <c r="J1533" s="1" t="s">
        <v>40</v>
      </c>
      <c r="K1533" s="1" t="s">
        <v>14</v>
      </c>
      <c r="L1533" s="1" t="s">
        <v>12</v>
      </c>
      <c r="M1533" s="1" t="s">
        <v>12</v>
      </c>
      <c r="N1533" s="1">
        <v>27.12</v>
      </c>
      <c r="O1533" s="1" t="s">
        <v>20</v>
      </c>
      <c r="P1533" s="1">
        <v>12</v>
      </c>
      <c r="Q1533" s="1" t="s">
        <v>16</v>
      </c>
      <c r="R1533" s="1" t="str">
        <f>IF(N1533="","",VLOOKUP(N1533,Prior_levels,2,TRUE))</f>
        <v>M</v>
      </c>
    </row>
    <row r="1534" spans="1:18" x14ac:dyDescent="0.2">
      <c r="A1534" s="1" t="s">
        <v>173</v>
      </c>
      <c r="B1534" s="1" t="s">
        <v>12</v>
      </c>
      <c r="C1534" s="2">
        <v>41155</v>
      </c>
      <c r="D1534" s="1">
        <v>10</v>
      </c>
      <c r="E1534" s="1" t="s">
        <v>11</v>
      </c>
      <c r="H1534" s="1" t="s">
        <v>54</v>
      </c>
      <c r="I1534" s="1" t="s">
        <v>12</v>
      </c>
      <c r="J1534" s="1" t="s">
        <v>40</v>
      </c>
      <c r="K1534" s="1" t="s">
        <v>14</v>
      </c>
      <c r="L1534" s="1" t="s">
        <v>12</v>
      </c>
      <c r="M1534" s="1" t="s">
        <v>12</v>
      </c>
      <c r="N1534" s="1">
        <v>27.12</v>
      </c>
      <c r="O1534" s="1" t="s">
        <v>21</v>
      </c>
      <c r="P1534" s="1">
        <v>13</v>
      </c>
      <c r="Q1534" s="1" t="s">
        <v>16</v>
      </c>
      <c r="R1534" s="1" t="str">
        <f>IF(N1534="","",VLOOKUP(N1534,Prior_levels,2,TRUE))</f>
        <v>M</v>
      </c>
    </row>
    <row r="1535" spans="1:18" x14ac:dyDescent="0.2">
      <c r="A1535" s="1" t="s">
        <v>173</v>
      </c>
      <c r="B1535" s="1" t="s">
        <v>12</v>
      </c>
      <c r="C1535" s="2">
        <v>41155</v>
      </c>
      <c r="D1535" s="1">
        <v>10</v>
      </c>
      <c r="E1535" s="1" t="s">
        <v>11</v>
      </c>
      <c r="H1535" s="1" t="s">
        <v>54</v>
      </c>
      <c r="I1535" s="1" t="s">
        <v>12</v>
      </c>
      <c r="J1535" s="1" t="s">
        <v>40</v>
      </c>
      <c r="K1535" s="1" t="s">
        <v>14</v>
      </c>
      <c r="L1535" s="1" t="s">
        <v>12</v>
      </c>
      <c r="M1535" s="1" t="s">
        <v>12</v>
      </c>
      <c r="N1535" s="1">
        <v>27.12</v>
      </c>
      <c r="O1535" s="1" t="s">
        <v>22</v>
      </c>
      <c r="P1535" s="1">
        <v>-0.05</v>
      </c>
      <c r="Q1535" s="1" t="s">
        <v>16</v>
      </c>
      <c r="R1535" s="1" t="str">
        <f>IF(N1535="","",VLOOKUP(N1535,Prior_levels,2,TRUE))</f>
        <v>M</v>
      </c>
    </row>
    <row r="1536" spans="1:18" x14ac:dyDescent="0.2">
      <c r="A1536" s="1" t="s">
        <v>173</v>
      </c>
      <c r="B1536" s="1" t="s">
        <v>12</v>
      </c>
      <c r="C1536" s="2">
        <v>41155</v>
      </c>
      <c r="D1536" s="1">
        <v>10</v>
      </c>
      <c r="E1536" s="1" t="s">
        <v>11</v>
      </c>
      <c r="H1536" s="1" t="s">
        <v>54</v>
      </c>
      <c r="I1536" s="1" t="s">
        <v>12</v>
      </c>
      <c r="J1536" s="1" t="s">
        <v>40</v>
      </c>
      <c r="K1536" s="1" t="s">
        <v>14</v>
      </c>
      <c r="L1536" s="1" t="s">
        <v>12</v>
      </c>
      <c r="M1536" s="1" t="s">
        <v>12</v>
      </c>
      <c r="N1536" s="1">
        <v>27.12</v>
      </c>
      <c r="O1536" s="1" t="s">
        <v>23</v>
      </c>
      <c r="P1536" s="1">
        <v>0.36</v>
      </c>
      <c r="Q1536" s="1" t="s">
        <v>16</v>
      </c>
      <c r="R1536" s="1" t="str">
        <f>IF(N1536="","",VLOOKUP(N1536,Prior_levels,2,TRUE))</f>
        <v>M</v>
      </c>
    </row>
    <row r="1537" spans="1:18" x14ac:dyDescent="0.2">
      <c r="A1537" s="1" t="s">
        <v>173</v>
      </c>
      <c r="B1537" s="1" t="s">
        <v>12</v>
      </c>
      <c r="C1537" s="2">
        <v>41155</v>
      </c>
      <c r="D1537" s="1">
        <v>10</v>
      </c>
      <c r="E1537" s="1" t="s">
        <v>11</v>
      </c>
      <c r="H1537" s="1" t="s">
        <v>54</v>
      </c>
      <c r="I1537" s="1" t="s">
        <v>12</v>
      </c>
      <c r="J1537" s="1" t="s">
        <v>40</v>
      </c>
      <c r="K1537" s="1" t="s">
        <v>14</v>
      </c>
      <c r="L1537" s="1" t="s">
        <v>12</v>
      </c>
      <c r="M1537" s="1" t="s">
        <v>12</v>
      </c>
      <c r="N1537" s="1">
        <v>27.12</v>
      </c>
      <c r="O1537" s="1" t="s">
        <v>24</v>
      </c>
      <c r="P1537" s="1">
        <v>0.75</v>
      </c>
      <c r="Q1537" s="1" t="s">
        <v>16</v>
      </c>
      <c r="R1537" s="1" t="str">
        <f>IF(N1537="","",VLOOKUP(N1537,Prior_levels,2,TRUE))</f>
        <v>M</v>
      </c>
    </row>
    <row r="1538" spans="1:18" x14ac:dyDescent="0.2">
      <c r="A1538" s="1" t="s">
        <v>173</v>
      </c>
      <c r="B1538" s="1" t="s">
        <v>12</v>
      </c>
      <c r="C1538" s="2">
        <v>41155</v>
      </c>
      <c r="D1538" s="1">
        <v>10</v>
      </c>
      <c r="E1538" s="1" t="s">
        <v>11</v>
      </c>
      <c r="H1538" s="1" t="s">
        <v>54</v>
      </c>
      <c r="I1538" s="1" t="s">
        <v>12</v>
      </c>
      <c r="J1538" s="1" t="s">
        <v>40</v>
      </c>
      <c r="K1538" s="1" t="s">
        <v>14</v>
      </c>
      <c r="L1538" s="1" t="s">
        <v>12</v>
      </c>
      <c r="M1538" s="1" t="s">
        <v>12</v>
      </c>
      <c r="N1538" s="1">
        <v>27.12</v>
      </c>
      <c r="O1538" s="1" t="s">
        <v>25</v>
      </c>
      <c r="P1538" s="1">
        <v>-1.89</v>
      </c>
      <c r="Q1538" s="1" t="s">
        <v>16</v>
      </c>
      <c r="R1538" s="1" t="str">
        <f>IF(N1538="","",VLOOKUP(N1538,Prior_levels,2,TRUE))</f>
        <v>M</v>
      </c>
    </row>
    <row r="1539" spans="1:18" x14ac:dyDescent="0.2">
      <c r="A1539" s="1" t="s">
        <v>173</v>
      </c>
      <c r="B1539" s="1" t="s">
        <v>12</v>
      </c>
      <c r="C1539" s="2">
        <v>41155</v>
      </c>
      <c r="D1539" s="1">
        <v>10</v>
      </c>
      <c r="E1539" s="1" t="s">
        <v>11</v>
      </c>
      <c r="H1539" s="1" t="s">
        <v>54</v>
      </c>
      <c r="I1539" s="1" t="s">
        <v>12</v>
      </c>
      <c r="J1539" s="1" t="s">
        <v>40</v>
      </c>
      <c r="K1539" s="1" t="s">
        <v>14</v>
      </c>
      <c r="L1539" s="1" t="s">
        <v>12</v>
      </c>
      <c r="M1539" s="1" t="s">
        <v>12</v>
      </c>
      <c r="N1539" s="1">
        <v>27.12</v>
      </c>
      <c r="O1539" s="1" t="s">
        <v>26</v>
      </c>
      <c r="P1539" s="1">
        <v>8</v>
      </c>
      <c r="Q1539" s="1" t="s">
        <v>16</v>
      </c>
      <c r="R1539" s="1" t="str">
        <f>IF(N1539="","",VLOOKUP(N1539,Prior_levels,2,TRUE))</f>
        <v>M</v>
      </c>
    </row>
    <row r="1540" spans="1:18" x14ac:dyDescent="0.2">
      <c r="A1540" s="1" t="s">
        <v>173</v>
      </c>
      <c r="B1540" s="1" t="s">
        <v>12</v>
      </c>
      <c r="C1540" s="2">
        <v>41155</v>
      </c>
      <c r="D1540" s="1">
        <v>10</v>
      </c>
      <c r="E1540" s="1" t="s">
        <v>11</v>
      </c>
      <c r="H1540" s="1" t="s">
        <v>54</v>
      </c>
      <c r="I1540" s="1" t="s">
        <v>12</v>
      </c>
      <c r="J1540" s="1" t="s">
        <v>40</v>
      </c>
      <c r="K1540" s="1" t="s">
        <v>14</v>
      </c>
      <c r="L1540" s="1" t="s">
        <v>12</v>
      </c>
      <c r="M1540" s="1" t="s">
        <v>12</v>
      </c>
      <c r="N1540" s="1">
        <v>27.12</v>
      </c>
      <c r="O1540" s="1" t="s">
        <v>32</v>
      </c>
      <c r="P1540" s="1" t="s">
        <v>37</v>
      </c>
      <c r="Q1540" s="1" t="s">
        <v>16</v>
      </c>
      <c r="R1540" s="1" t="str">
        <f>IF(N1540="","",VLOOKUP(N1540,Prior_levels,2,TRUE))</f>
        <v>M</v>
      </c>
    </row>
    <row r="1541" spans="1:18" x14ac:dyDescent="0.2">
      <c r="A1541" s="1" t="s">
        <v>173</v>
      </c>
      <c r="B1541" s="1" t="s">
        <v>12</v>
      </c>
      <c r="C1541" s="2">
        <v>41155</v>
      </c>
      <c r="D1541" s="1">
        <v>10</v>
      </c>
      <c r="E1541" s="1" t="s">
        <v>11</v>
      </c>
      <c r="H1541" s="1" t="s">
        <v>54</v>
      </c>
      <c r="I1541" s="1" t="s">
        <v>12</v>
      </c>
      <c r="J1541" s="1" t="s">
        <v>40</v>
      </c>
      <c r="K1541" s="1" t="s">
        <v>14</v>
      </c>
      <c r="L1541" s="1" t="s">
        <v>12</v>
      </c>
      <c r="M1541" s="1" t="s">
        <v>12</v>
      </c>
      <c r="N1541" s="1">
        <v>27.12</v>
      </c>
      <c r="O1541" s="1" t="s">
        <v>27</v>
      </c>
      <c r="P1541" s="1" t="s">
        <v>37</v>
      </c>
      <c r="Q1541" s="1" t="s">
        <v>16</v>
      </c>
      <c r="R1541" s="1" t="str">
        <f>IF(N1541="","",VLOOKUP(N1541,Prior_levels,2,TRUE))</f>
        <v>M</v>
      </c>
    </row>
    <row r="1542" spans="1:18" x14ac:dyDescent="0.2">
      <c r="A1542" s="1" t="s">
        <v>173</v>
      </c>
      <c r="B1542" s="1" t="s">
        <v>12</v>
      </c>
      <c r="C1542" s="2">
        <v>41155</v>
      </c>
      <c r="D1542" s="1">
        <v>10</v>
      </c>
      <c r="E1542" s="1" t="s">
        <v>11</v>
      </c>
      <c r="H1542" s="1" t="s">
        <v>54</v>
      </c>
      <c r="I1542" s="1" t="s">
        <v>12</v>
      </c>
      <c r="J1542" s="1" t="s">
        <v>40</v>
      </c>
      <c r="K1542" s="1" t="s">
        <v>14</v>
      </c>
      <c r="L1542" s="1" t="s">
        <v>12</v>
      </c>
      <c r="M1542" s="1" t="s">
        <v>12</v>
      </c>
      <c r="N1542" s="1">
        <v>27.12</v>
      </c>
      <c r="O1542" s="1" t="s">
        <v>29</v>
      </c>
      <c r="P1542" s="1" t="s">
        <v>37</v>
      </c>
      <c r="Q1542" s="1" t="s">
        <v>16</v>
      </c>
      <c r="R1542" s="1" t="str">
        <f>IF(N1542="","",VLOOKUP(N1542,Prior_levels,2,TRUE))</f>
        <v>M</v>
      </c>
    </row>
    <row r="1543" spans="1:18" x14ac:dyDescent="0.2">
      <c r="A1543" s="1" t="s">
        <v>173</v>
      </c>
      <c r="B1543" s="1" t="s">
        <v>12</v>
      </c>
      <c r="C1543" s="2">
        <v>41155</v>
      </c>
      <c r="D1543" s="1">
        <v>10</v>
      </c>
      <c r="E1543" s="1" t="s">
        <v>11</v>
      </c>
      <c r="H1543" s="1" t="s">
        <v>54</v>
      </c>
      <c r="I1543" s="1" t="s">
        <v>12</v>
      </c>
      <c r="J1543" s="1" t="s">
        <v>40</v>
      </c>
      <c r="K1543" s="1" t="s">
        <v>14</v>
      </c>
      <c r="L1543" s="1" t="s">
        <v>12</v>
      </c>
      <c r="M1543" s="1" t="s">
        <v>12</v>
      </c>
      <c r="N1543" s="1">
        <v>27.12</v>
      </c>
      <c r="O1543" s="1" t="s">
        <v>30</v>
      </c>
      <c r="P1543" s="1" t="s">
        <v>37</v>
      </c>
      <c r="Q1543" s="1" t="s">
        <v>16</v>
      </c>
      <c r="R1543" s="1" t="str">
        <f>IF(N1543="","",VLOOKUP(N1543,Prior_levels,2,TRUE))</f>
        <v>M</v>
      </c>
    </row>
    <row r="1544" spans="1:18" x14ac:dyDescent="0.2">
      <c r="A1544" s="1" t="s">
        <v>173</v>
      </c>
      <c r="B1544" s="1" t="s">
        <v>12</v>
      </c>
      <c r="C1544" s="2">
        <v>41155</v>
      </c>
      <c r="D1544" s="1">
        <v>10</v>
      </c>
      <c r="E1544" s="1" t="s">
        <v>11</v>
      </c>
      <c r="H1544" s="1" t="s">
        <v>54</v>
      </c>
      <c r="I1544" s="1" t="s">
        <v>12</v>
      </c>
      <c r="J1544" s="1" t="s">
        <v>40</v>
      </c>
      <c r="K1544" s="1" t="s">
        <v>14</v>
      </c>
      <c r="L1544" s="1" t="s">
        <v>12</v>
      </c>
      <c r="M1544" s="1" t="s">
        <v>12</v>
      </c>
      <c r="N1544" s="1">
        <v>27.12</v>
      </c>
      <c r="O1544" s="1" t="s">
        <v>31</v>
      </c>
      <c r="P1544" s="1" t="s">
        <v>28</v>
      </c>
      <c r="Q1544" s="1" t="s">
        <v>16</v>
      </c>
      <c r="R1544" s="1" t="str">
        <f>IF(N1544="","",VLOOKUP(N1544,Prior_levels,2,TRUE))</f>
        <v>M</v>
      </c>
    </row>
    <row r="1545" spans="1:18" x14ac:dyDescent="0.2">
      <c r="A1545" s="1" t="s">
        <v>174</v>
      </c>
      <c r="B1545" s="1" t="s">
        <v>10</v>
      </c>
      <c r="C1545" s="2">
        <v>41155</v>
      </c>
      <c r="D1545" s="1">
        <v>10</v>
      </c>
      <c r="E1545" s="1" t="s">
        <v>47</v>
      </c>
      <c r="H1545" s="1" t="s">
        <v>54</v>
      </c>
      <c r="I1545" s="1" t="s">
        <v>12</v>
      </c>
      <c r="J1545" s="1" t="s">
        <v>175</v>
      </c>
      <c r="K1545" s="1" t="s">
        <v>14</v>
      </c>
      <c r="L1545" s="1" t="s">
        <v>12</v>
      </c>
      <c r="M1545" s="1" t="s">
        <v>12</v>
      </c>
      <c r="N1545" s="1">
        <v>36.18</v>
      </c>
      <c r="O1545" s="1" t="s">
        <v>15</v>
      </c>
      <c r="P1545" s="1">
        <v>7</v>
      </c>
      <c r="Q1545" s="1" t="s">
        <v>16</v>
      </c>
      <c r="R1545" s="1" t="str">
        <f>IF(N1545="","",VLOOKUP(N1545,Prior_levels,2,TRUE))</f>
        <v>H</v>
      </c>
    </row>
    <row r="1546" spans="1:18" x14ac:dyDescent="0.2">
      <c r="A1546" s="1" t="s">
        <v>174</v>
      </c>
      <c r="B1546" s="1" t="s">
        <v>10</v>
      </c>
      <c r="C1546" s="2">
        <v>41155</v>
      </c>
      <c r="D1546" s="1">
        <v>10</v>
      </c>
      <c r="E1546" s="1" t="s">
        <v>47</v>
      </c>
      <c r="H1546" s="1" t="s">
        <v>54</v>
      </c>
      <c r="I1546" s="1" t="s">
        <v>12</v>
      </c>
      <c r="J1546" s="1" t="s">
        <v>175</v>
      </c>
      <c r="K1546" s="1" t="s">
        <v>14</v>
      </c>
      <c r="L1546" s="1" t="s">
        <v>12</v>
      </c>
      <c r="M1546" s="1" t="s">
        <v>12</v>
      </c>
      <c r="N1546" s="1">
        <v>36.18</v>
      </c>
      <c r="O1546" s="1" t="s">
        <v>18</v>
      </c>
      <c r="P1546" s="1">
        <v>14</v>
      </c>
      <c r="Q1546" s="1" t="s">
        <v>16</v>
      </c>
      <c r="R1546" s="1" t="str">
        <f>IF(N1546="","",VLOOKUP(N1546,Prior_levels,2,TRUE))</f>
        <v>H</v>
      </c>
    </row>
    <row r="1547" spans="1:18" x14ac:dyDescent="0.2">
      <c r="A1547" s="1" t="s">
        <v>174</v>
      </c>
      <c r="B1547" s="1" t="s">
        <v>10</v>
      </c>
      <c r="C1547" s="2">
        <v>41155</v>
      </c>
      <c r="D1547" s="1">
        <v>10</v>
      </c>
      <c r="E1547" s="1" t="s">
        <v>47</v>
      </c>
      <c r="H1547" s="1" t="s">
        <v>54</v>
      </c>
      <c r="I1547" s="1" t="s">
        <v>12</v>
      </c>
      <c r="J1547" s="1" t="s">
        <v>175</v>
      </c>
      <c r="K1547" s="1" t="s">
        <v>14</v>
      </c>
      <c r="L1547" s="1" t="s">
        <v>12</v>
      </c>
      <c r="M1547" s="1" t="s">
        <v>12</v>
      </c>
      <c r="N1547" s="1">
        <v>36.18</v>
      </c>
      <c r="O1547" s="1" t="s">
        <v>19</v>
      </c>
      <c r="P1547" s="1">
        <v>14</v>
      </c>
      <c r="Q1547" s="1" t="s">
        <v>16</v>
      </c>
      <c r="R1547" s="1" t="str">
        <f>IF(N1547="","",VLOOKUP(N1547,Prior_levels,2,TRUE))</f>
        <v>H</v>
      </c>
    </row>
    <row r="1548" spans="1:18" x14ac:dyDescent="0.2">
      <c r="A1548" s="1" t="s">
        <v>174</v>
      </c>
      <c r="B1548" s="1" t="s">
        <v>10</v>
      </c>
      <c r="C1548" s="2">
        <v>41155</v>
      </c>
      <c r="D1548" s="1">
        <v>10</v>
      </c>
      <c r="E1548" s="1" t="s">
        <v>47</v>
      </c>
      <c r="H1548" s="1" t="s">
        <v>54</v>
      </c>
      <c r="I1548" s="1" t="s">
        <v>12</v>
      </c>
      <c r="J1548" s="1" t="s">
        <v>175</v>
      </c>
      <c r="K1548" s="1" t="s">
        <v>14</v>
      </c>
      <c r="L1548" s="1" t="s">
        <v>12</v>
      </c>
      <c r="M1548" s="1" t="s">
        <v>12</v>
      </c>
      <c r="N1548" s="1">
        <v>36.18</v>
      </c>
      <c r="O1548" s="1" t="s">
        <v>20</v>
      </c>
      <c r="P1548" s="1">
        <v>21</v>
      </c>
      <c r="Q1548" s="1" t="s">
        <v>16</v>
      </c>
      <c r="R1548" s="1" t="str">
        <f>IF(N1548="","",VLOOKUP(N1548,Prior_levels,2,TRUE))</f>
        <v>H</v>
      </c>
    </row>
    <row r="1549" spans="1:18" x14ac:dyDescent="0.2">
      <c r="A1549" s="1" t="s">
        <v>174</v>
      </c>
      <c r="B1549" s="1" t="s">
        <v>10</v>
      </c>
      <c r="C1549" s="2">
        <v>41155</v>
      </c>
      <c r="D1549" s="1">
        <v>10</v>
      </c>
      <c r="E1549" s="1" t="s">
        <v>47</v>
      </c>
      <c r="H1549" s="1" t="s">
        <v>54</v>
      </c>
      <c r="I1549" s="1" t="s">
        <v>12</v>
      </c>
      <c r="J1549" s="1" t="s">
        <v>175</v>
      </c>
      <c r="K1549" s="1" t="s">
        <v>14</v>
      </c>
      <c r="L1549" s="1" t="s">
        <v>12</v>
      </c>
      <c r="M1549" s="1" t="s">
        <v>12</v>
      </c>
      <c r="N1549" s="1">
        <v>36.18</v>
      </c>
      <c r="O1549" s="1" t="s">
        <v>21</v>
      </c>
      <c r="P1549" s="1">
        <v>21</v>
      </c>
      <c r="Q1549" s="1" t="s">
        <v>16</v>
      </c>
      <c r="R1549" s="1" t="str">
        <f>IF(N1549="","",VLOOKUP(N1549,Prior_levels,2,TRUE))</f>
        <v>H</v>
      </c>
    </row>
    <row r="1550" spans="1:18" x14ac:dyDescent="0.2">
      <c r="A1550" s="1" t="s">
        <v>174</v>
      </c>
      <c r="B1550" s="1" t="s">
        <v>10</v>
      </c>
      <c r="C1550" s="2">
        <v>41155</v>
      </c>
      <c r="D1550" s="1">
        <v>10</v>
      </c>
      <c r="E1550" s="1" t="s">
        <v>47</v>
      </c>
      <c r="H1550" s="1" t="s">
        <v>54</v>
      </c>
      <c r="I1550" s="1" t="s">
        <v>12</v>
      </c>
      <c r="J1550" s="1" t="s">
        <v>175</v>
      </c>
      <c r="K1550" s="1" t="s">
        <v>14</v>
      </c>
      <c r="L1550" s="1" t="s">
        <v>12</v>
      </c>
      <c r="M1550" s="1" t="s">
        <v>12</v>
      </c>
      <c r="N1550" s="1">
        <v>36.18</v>
      </c>
      <c r="O1550" s="1" t="s">
        <v>26</v>
      </c>
      <c r="P1550" s="1">
        <v>9</v>
      </c>
      <c r="Q1550" s="1" t="s">
        <v>16</v>
      </c>
      <c r="R1550" s="1" t="str">
        <f>IF(N1550="","",VLOOKUP(N1550,Prior_levels,2,TRUE))</f>
        <v>H</v>
      </c>
    </row>
    <row r="1551" spans="1:18" x14ac:dyDescent="0.2">
      <c r="A1551" s="1" t="s">
        <v>174</v>
      </c>
      <c r="B1551" s="1" t="s">
        <v>10</v>
      </c>
      <c r="C1551" s="2">
        <v>41155</v>
      </c>
      <c r="D1551" s="1">
        <v>10</v>
      </c>
      <c r="E1551" s="1" t="s">
        <v>47</v>
      </c>
      <c r="H1551" s="1" t="s">
        <v>54</v>
      </c>
      <c r="I1551" s="1" t="s">
        <v>12</v>
      </c>
      <c r="J1551" s="1" t="s">
        <v>175</v>
      </c>
      <c r="K1551" s="1" t="s">
        <v>14</v>
      </c>
      <c r="L1551" s="1" t="s">
        <v>12</v>
      </c>
      <c r="M1551" s="1" t="s">
        <v>12</v>
      </c>
      <c r="N1551" s="1">
        <v>36.18</v>
      </c>
      <c r="O1551" s="1" t="s">
        <v>32</v>
      </c>
      <c r="P1551" s="1" t="s">
        <v>37</v>
      </c>
      <c r="Q1551" s="1" t="s">
        <v>16</v>
      </c>
      <c r="R1551" s="1" t="str">
        <f>IF(N1551="","",VLOOKUP(N1551,Prior_levels,2,TRUE))</f>
        <v>H</v>
      </c>
    </row>
    <row r="1552" spans="1:18" x14ac:dyDescent="0.2">
      <c r="A1552" s="1" t="s">
        <v>174</v>
      </c>
      <c r="B1552" s="1" t="s">
        <v>10</v>
      </c>
      <c r="C1552" s="2">
        <v>41155</v>
      </c>
      <c r="D1552" s="1">
        <v>10</v>
      </c>
      <c r="E1552" s="1" t="s">
        <v>47</v>
      </c>
      <c r="H1552" s="1" t="s">
        <v>54</v>
      </c>
      <c r="I1552" s="1" t="s">
        <v>12</v>
      </c>
      <c r="J1552" s="1" t="s">
        <v>175</v>
      </c>
      <c r="K1552" s="1" t="s">
        <v>14</v>
      </c>
      <c r="L1552" s="1" t="s">
        <v>12</v>
      </c>
      <c r="M1552" s="1" t="s">
        <v>12</v>
      </c>
      <c r="N1552" s="1">
        <v>36.18</v>
      </c>
      <c r="O1552" s="1" t="s">
        <v>27</v>
      </c>
      <c r="P1552" s="1" t="s">
        <v>37</v>
      </c>
      <c r="Q1552" s="1" t="s">
        <v>16</v>
      </c>
      <c r="R1552" s="1" t="str">
        <f>IF(N1552="","",VLOOKUP(N1552,Prior_levels,2,TRUE))</f>
        <v>H</v>
      </c>
    </row>
    <row r="1553" spans="1:18" x14ac:dyDescent="0.2">
      <c r="A1553" s="1" t="s">
        <v>174</v>
      </c>
      <c r="B1553" s="1" t="s">
        <v>10</v>
      </c>
      <c r="C1553" s="2">
        <v>41155</v>
      </c>
      <c r="D1553" s="1">
        <v>10</v>
      </c>
      <c r="E1553" s="1" t="s">
        <v>47</v>
      </c>
      <c r="H1553" s="1" t="s">
        <v>54</v>
      </c>
      <c r="I1553" s="1" t="s">
        <v>12</v>
      </c>
      <c r="J1553" s="1" t="s">
        <v>175</v>
      </c>
      <c r="K1553" s="1" t="s">
        <v>14</v>
      </c>
      <c r="L1553" s="1" t="s">
        <v>12</v>
      </c>
      <c r="M1553" s="1" t="s">
        <v>12</v>
      </c>
      <c r="N1553" s="1">
        <v>36.18</v>
      </c>
      <c r="O1553" s="1" t="s">
        <v>29</v>
      </c>
      <c r="P1553" s="1" t="s">
        <v>37</v>
      </c>
      <c r="Q1553" s="1" t="s">
        <v>16</v>
      </c>
      <c r="R1553" s="1" t="str">
        <f>IF(N1553="","",VLOOKUP(N1553,Prior_levels,2,TRUE))</f>
        <v>H</v>
      </c>
    </row>
    <row r="1554" spans="1:18" x14ac:dyDescent="0.2">
      <c r="A1554" s="1" t="s">
        <v>174</v>
      </c>
      <c r="B1554" s="1" t="s">
        <v>10</v>
      </c>
      <c r="C1554" s="2">
        <v>41155</v>
      </c>
      <c r="D1554" s="1">
        <v>10</v>
      </c>
      <c r="E1554" s="1" t="s">
        <v>47</v>
      </c>
      <c r="H1554" s="1" t="s">
        <v>54</v>
      </c>
      <c r="I1554" s="1" t="s">
        <v>12</v>
      </c>
      <c r="J1554" s="1" t="s">
        <v>175</v>
      </c>
      <c r="K1554" s="1" t="s">
        <v>14</v>
      </c>
      <c r="L1554" s="1" t="s">
        <v>12</v>
      </c>
      <c r="M1554" s="1" t="s">
        <v>12</v>
      </c>
      <c r="N1554" s="1">
        <v>36.18</v>
      </c>
      <c r="O1554" s="1" t="s">
        <v>30</v>
      </c>
      <c r="P1554" s="1" t="s">
        <v>37</v>
      </c>
      <c r="Q1554" s="1" t="s">
        <v>16</v>
      </c>
      <c r="R1554" s="1" t="str">
        <f>IF(N1554="","",VLOOKUP(N1554,Prior_levels,2,TRUE))</f>
        <v>H</v>
      </c>
    </row>
    <row r="1555" spans="1:18" x14ac:dyDescent="0.2">
      <c r="A1555" s="1" t="s">
        <v>174</v>
      </c>
      <c r="B1555" s="1" t="s">
        <v>10</v>
      </c>
      <c r="C1555" s="2">
        <v>41155</v>
      </c>
      <c r="D1555" s="1">
        <v>10</v>
      </c>
      <c r="E1555" s="1" t="s">
        <v>47</v>
      </c>
      <c r="H1555" s="1" t="s">
        <v>54</v>
      </c>
      <c r="I1555" s="1" t="s">
        <v>12</v>
      </c>
      <c r="J1555" s="1" t="s">
        <v>175</v>
      </c>
      <c r="K1555" s="1" t="s">
        <v>14</v>
      </c>
      <c r="L1555" s="1" t="s">
        <v>12</v>
      </c>
      <c r="M1555" s="1" t="s">
        <v>12</v>
      </c>
      <c r="N1555" s="1">
        <v>36.18</v>
      </c>
      <c r="O1555" s="1" t="s">
        <v>31</v>
      </c>
      <c r="P1555" s="1" t="s">
        <v>37</v>
      </c>
      <c r="Q1555" s="1" t="s">
        <v>16</v>
      </c>
      <c r="R1555" s="1" t="str">
        <f>IF(N1555="","",VLOOKUP(N1555,Prior_levels,2,TRUE))</f>
        <v>H</v>
      </c>
    </row>
    <row r="1556" spans="1:18" x14ac:dyDescent="0.2">
      <c r="A1556" s="1" t="s">
        <v>176</v>
      </c>
      <c r="B1556" s="1" t="s">
        <v>10</v>
      </c>
      <c r="C1556" s="2">
        <v>41155</v>
      </c>
      <c r="D1556" s="1">
        <v>10</v>
      </c>
      <c r="E1556" s="1" t="s">
        <v>47</v>
      </c>
      <c r="I1556" s="1" t="s">
        <v>12</v>
      </c>
      <c r="J1556" s="1" t="s">
        <v>177</v>
      </c>
      <c r="K1556" s="1" t="s">
        <v>14</v>
      </c>
      <c r="L1556" s="1" t="s">
        <v>12</v>
      </c>
      <c r="M1556" s="1" t="s">
        <v>12</v>
      </c>
      <c r="N1556" s="1">
        <v>21.12</v>
      </c>
      <c r="O1556" s="1" t="s">
        <v>15</v>
      </c>
      <c r="P1556" s="1">
        <v>2.8</v>
      </c>
      <c r="Q1556" s="1" t="s">
        <v>16</v>
      </c>
      <c r="R1556" s="1" t="str">
        <f>IF(N1556="","",VLOOKUP(N1556,Prior_levels,2,TRUE))</f>
        <v>L</v>
      </c>
    </row>
    <row r="1557" spans="1:18" x14ac:dyDescent="0.2">
      <c r="A1557" s="1" t="s">
        <v>176</v>
      </c>
      <c r="B1557" s="1" t="s">
        <v>10</v>
      </c>
      <c r="C1557" s="2">
        <v>41155</v>
      </c>
      <c r="D1557" s="1">
        <v>10</v>
      </c>
      <c r="E1557" s="1" t="s">
        <v>47</v>
      </c>
      <c r="I1557" s="1" t="s">
        <v>12</v>
      </c>
      <c r="J1557" s="1" t="s">
        <v>177</v>
      </c>
      <c r="K1557" s="1" t="s">
        <v>14</v>
      </c>
      <c r="L1557" s="1" t="s">
        <v>12</v>
      </c>
      <c r="M1557" s="1" t="s">
        <v>12</v>
      </c>
      <c r="N1557" s="1">
        <v>21.12</v>
      </c>
      <c r="O1557" s="1" t="s">
        <v>17</v>
      </c>
      <c r="P1557" s="1">
        <v>-0.03</v>
      </c>
      <c r="Q1557" s="1" t="s">
        <v>16</v>
      </c>
      <c r="R1557" s="1" t="str">
        <f>IF(N1557="","",VLOOKUP(N1557,Prior_levels,2,TRUE))</f>
        <v>L</v>
      </c>
    </row>
    <row r="1558" spans="1:18" x14ac:dyDescent="0.2">
      <c r="A1558" s="1" t="s">
        <v>176</v>
      </c>
      <c r="B1558" s="1" t="s">
        <v>10</v>
      </c>
      <c r="C1558" s="2">
        <v>41155</v>
      </c>
      <c r="D1558" s="1">
        <v>10</v>
      </c>
      <c r="E1558" s="1" t="s">
        <v>47</v>
      </c>
      <c r="I1558" s="1" t="s">
        <v>12</v>
      </c>
      <c r="J1558" s="1" t="s">
        <v>177</v>
      </c>
      <c r="K1558" s="1" t="s">
        <v>14</v>
      </c>
      <c r="L1558" s="1" t="s">
        <v>12</v>
      </c>
      <c r="M1558" s="1" t="s">
        <v>12</v>
      </c>
      <c r="N1558" s="1">
        <v>21.12</v>
      </c>
      <c r="O1558" s="1" t="s">
        <v>18</v>
      </c>
      <c r="P1558" s="1">
        <v>8</v>
      </c>
      <c r="Q1558" s="1" t="s">
        <v>16</v>
      </c>
      <c r="R1558" s="1" t="str">
        <f>IF(N1558="","",VLOOKUP(N1558,Prior_levels,2,TRUE))</f>
        <v>L</v>
      </c>
    </row>
    <row r="1559" spans="1:18" x14ac:dyDescent="0.2">
      <c r="A1559" s="1" t="s">
        <v>176</v>
      </c>
      <c r="B1559" s="1" t="s">
        <v>10</v>
      </c>
      <c r="C1559" s="2">
        <v>41155</v>
      </c>
      <c r="D1559" s="1">
        <v>10</v>
      </c>
      <c r="E1559" s="1" t="s">
        <v>47</v>
      </c>
      <c r="I1559" s="1" t="s">
        <v>12</v>
      </c>
      <c r="J1559" s="1" t="s">
        <v>177</v>
      </c>
      <c r="K1559" s="1" t="s">
        <v>14</v>
      </c>
      <c r="L1559" s="1" t="s">
        <v>12</v>
      </c>
      <c r="M1559" s="1" t="s">
        <v>12</v>
      </c>
      <c r="N1559" s="1">
        <v>21.12</v>
      </c>
      <c r="O1559" s="1" t="s">
        <v>19</v>
      </c>
      <c r="P1559" s="1">
        <v>4</v>
      </c>
      <c r="Q1559" s="1" t="s">
        <v>16</v>
      </c>
      <c r="R1559" s="1" t="str">
        <f>IF(N1559="","",VLOOKUP(N1559,Prior_levels,2,TRUE))</f>
        <v>L</v>
      </c>
    </row>
    <row r="1560" spans="1:18" x14ac:dyDescent="0.2">
      <c r="A1560" s="1" t="s">
        <v>176</v>
      </c>
      <c r="B1560" s="1" t="s">
        <v>10</v>
      </c>
      <c r="C1560" s="2">
        <v>41155</v>
      </c>
      <c r="D1560" s="1">
        <v>10</v>
      </c>
      <c r="E1560" s="1" t="s">
        <v>47</v>
      </c>
      <c r="I1560" s="1" t="s">
        <v>12</v>
      </c>
      <c r="J1560" s="1" t="s">
        <v>177</v>
      </c>
      <c r="K1560" s="1" t="s">
        <v>14</v>
      </c>
      <c r="L1560" s="1" t="s">
        <v>12</v>
      </c>
      <c r="M1560" s="1" t="s">
        <v>12</v>
      </c>
      <c r="N1560" s="1">
        <v>21.12</v>
      </c>
      <c r="O1560" s="1" t="s">
        <v>20</v>
      </c>
      <c r="P1560" s="1">
        <v>7.5</v>
      </c>
      <c r="Q1560" s="1" t="s">
        <v>16</v>
      </c>
      <c r="R1560" s="1" t="str">
        <f>IF(N1560="","",VLOOKUP(N1560,Prior_levels,2,TRUE))</f>
        <v>L</v>
      </c>
    </row>
    <row r="1561" spans="1:18" x14ac:dyDescent="0.2">
      <c r="A1561" s="1" t="s">
        <v>176</v>
      </c>
      <c r="B1561" s="1" t="s">
        <v>10</v>
      </c>
      <c r="C1561" s="2">
        <v>41155</v>
      </c>
      <c r="D1561" s="1">
        <v>10</v>
      </c>
      <c r="E1561" s="1" t="s">
        <v>47</v>
      </c>
      <c r="I1561" s="1" t="s">
        <v>12</v>
      </c>
      <c r="J1561" s="1" t="s">
        <v>177</v>
      </c>
      <c r="K1561" s="1" t="s">
        <v>14</v>
      </c>
      <c r="L1561" s="1" t="s">
        <v>12</v>
      </c>
      <c r="M1561" s="1" t="s">
        <v>12</v>
      </c>
      <c r="N1561" s="1">
        <v>21.12</v>
      </c>
      <c r="O1561" s="1" t="s">
        <v>21</v>
      </c>
      <c r="P1561" s="1">
        <v>8.5</v>
      </c>
      <c r="Q1561" s="1" t="s">
        <v>16</v>
      </c>
      <c r="R1561" s="1" t="str">
        <f>IF(N1561="","",VLOOKUP(N1561,Prior_levels,2,TRUE))</f>
        <v>L</v>
      </c>
    </row>
    <row r="1562" spans="1:18" x14ac:dyDescent="0.2">
      <c r="A1562" s="1" t="s">
        <v>176</v>
      </c>
      <c r="B1562" s="1" t="s">
        <v>10</v>
      </c>
      <c r="C1562" s="2">
        <v>41155</v>
      </c>
      <c r="D1562" s="1">
        <v>10</v>
      </c>
      <c r="E1562" s="1" t="s">
        <v>47</v>
      </c>
      <c r="I1562" s="1" t="s">
        <v>12</v>
      </c>
      <c r="J1562" s="1" t="s">
        <v>177</v>
      </c>
      <c r="K1562" s="1" t="s">
        <v>14</v>
      </c>
      <c r="L1562" s="1" t="s">
        <v>12</v>
      </c>
      <c r="M1562" s="1" t="s">
        <v>12</v>
      </c>
      <c r="N1562" s="1">
        <v>21.12</v>
      </c>
      <c r="O1562" s="1" t="s">
        <v>22</v>
      </c>
      <c r="P1562" s="1">
        <v>0.34</v>
      </c>
      <c r="Q1562" s="1" t="s">
        <v>16</v>
      </c>
      <c r="R1562" s="1" t="str">
        <f>IF(N1562="","",VLOOKUP(N1562,Prior_levels,2,TRUE))</f>
        <v>L</v>
      </c>
    </row>
    <row r="1563" spans="1:18" x14ac:dyDescent="0.2">
      <c r="A1563" s="1" t="s">
        <v>176</v>
      </c>
      <c r="B1563" s="1" t="s">
        <v>10</v>
      </c>
      <c r="C1563" s="2">
        <v>41155</v>
      </c>
      <c r="D1563" s="1">
        <v>10</v>
      </c>
      <c r="E1563" s="1" t="s">
        <v>47</v>
      </c>
      <c r="I1563" s="1" t="s">
        <v>12</v>
      </c>
      <c r="J1563" s="1" t="s">
        <v>177</v>
      </c>
      <c r="K1563" s="1" t="s">
        <v>14</v>
      </c>
      <c r="L1563" s="1" t="s">
        <v>12</v>
      </c>
      <c r="M1563" s="1" t="s">
        <v>12</v>
      </c>
      <c r="N1563" s="1">
        <v>21.12</v>
      </c>
      <c r="O1563" s="1" t="s">
        <v>23</v>
      </c>
      <c r="P1563" s="1">
        <v>-0.61</v>
      </c>
      <c r="Q1563" s="1" t="s">
        <v>16</v>
      </c>
      <c r="R1563" s="1" t="str">
        <f>IF(N1563="","",VLOOKUP(N1563,Prior_levels,2,TRUE))</f>
        <v>L</v>
      </c>
    </row>
    <row r="1564" spans="1:18" x14ac:dyDescent="0.2">
      <c r="A1564" s="1" t="s">
        <v>176</v>
      </c>
      <c r="B1564" s="1" t="s">
        <v>10</v>
      </c>
      <c r="C1564" s="2">
        <v>41155</v>
      </c>
      <c r="D1564" s="1">
        <v>10</v>
      </c>
      <c r="E1564" s="1" t="s">
        <v>47</v>
      </c>
      <c r="I1564" s="1" t="s">
        <v>12</v>
      </c>
      <c r="J1564" s="1" t="s">
        <v>177</v>
      </c>
      <c r="K1564" s="1" t="s">
        <v>14</v>
      </c>
      <c r="L1564" s="1" t="s">
        <v>12</v>
      </c>
      <c r="M1564" s="1" t="s">
        <v>12</v>
      </c>
      <c r="N1564" s="1">
        <v>21.12</v>
      </c>
      <c r="O1564" s="1" t="s">
        <v>24</v>
      </c>
      <c r="P1564" s="1">
        <v>2.99</v>
      </c>
      <c r="Q1564" s="1" t="s">
        <v>16</v>
      </c>
      <c r="R1564" s="1" t="str">
        <f>IF(N1564="","",VLOOKUP(N1564,Prior_levels,2,TRUE))</f>
        <v>L</v>
      </c>
    </row>
    <row r="1565" spans="1:18" x14ac:dyDescent="0.2">
      <c r="A1565" s="1" t="s">
        <v>176</v>
      </c>
      <c r="B1565" s="1" t="s">
        <v>10</v>
      </c>
      <c r="C1565" s="2">
        <v>41155</v>
      </c>
      <c r="D1565" s="1">
        <v>10</v>
      </c>
      <c r="E1565" s="1" t="s">
        <v>47</v>
      </c>
      <c r="I1565" s="1" t="s">
        <v>12</v>
      </c>
      <c r="J1565" s="1" t="s">
        <v>177</v>
      </c>
      <c r="K1565" s="1" t="s">
        <v>14</v>
      </c>
      <c r="L1565" s="1" t="s">
        <v>12</v>
      </c>
      <c r="M1565" s="1" t="s">
        <v>12</v>
      </c>
      <c r="N1565" s="1">
        <v>21.12</v>
      </c>
      <c r="O1565" s="1" t="s">
        <v>25</v>
      </c>
      <c r="P1565" s="1">
        <v>-2.7</v>
      </c>
      <c r="Q1565" s="1" t="s">
        <v>16</v>
      </c>
      <c r="R1565" s="1" t="str">
        <f>IF(N1565="","",VLOOKUP(N1565,Prior_levels,2,TRUE))</f>
        <v>L</v>
      </c>
    </row>
    <row r="1566" spans="1:18" x14ac:dyDescent="0.2">
      <c r="A1566" s="1" t="s">
        <v>176</v>
      </c>
      <c r="B1566" s="1" t="s">
        <v>10</v>
      </c>
      <c r="C1566" s="2">
        <v>41155</v>
      </c>
      <c r="D1566" s="1">
        <v>10</v>
      </c>
      <c r="E1566" s="1" t="s">
        <v>47</v>
      </c>
      <c r="I1566" s="1" t="s">
        <v>12</v>
      </c>
      <c r="J1566" s="1" t="s">
        <v>177</v>
      </c>
      <c r="K1566" s="1" t="s">
        <v>14</v>
      </c>
      <c r="L1566" s="1" t="s">
        <v>12</v>
      </c>
      <c r="M1566" s="1" t="s">
        <v>12</v>
      </c>
      <c r="N1566" s="1">
        <v>21.12</v>
      </c>
      <c r="O1566" s="1" t="s">
        <v>26</v>
      </c>
      <c r="P1566" s="1">
        <v>0</v>
      </c>
      <c r="Q1566" s="1" t="s">
        <v>16</v>
      </c>
      <c r="R1566" s="1" t="str">
        <f>IF(N1566="","",VLOOKUP(N1566,Prior_levels,2,TRUE))</f>
        <v>L</v>
      </c>
    </row>
    <row r="1567" spans="1:18" x14ac:dyDescent="0.2">
      <c r="A1567" s="1" t="s">
        <v>176</v>
      </c>
      <c r="B1567" s="1" t="s">
        <v>10</v>
      </c>
      <c r="C1567" s="2">
        <v>41155</v>
      </c>
      <c r="D1567" s="1">
        <v>10</v>
      </c>
      <c r="E1567" s="1" t="s">
        <v>47</v>
      </c>
      <c r="I1567" s="1" t="s">
        <v>12</v>
      </c>
      <c r="J1567" s="1" t="s">
        <v>177</v>
      </c>
      <c r="K1567" s="1" t="s">
        <v>14</v>
      </c>
      <c r="L1567" s="1" t="s">
        <v>12</v>
      </c>
      <c r="M1567" s="1" t="s">
        <v>12</v>
      </c>
      <c r="N1567" s="1">
        <v>21.12</v>
      </c>
      <c r="O1567" s="1" t="s">
        <v>32</v>
      </c>
      <c r="P1567" s="1" t="s">
        <v>28</v>
      </c>
      <c r="Q1567" s="1" t="s">
        <v>16</v>
      </c>
      <c r="R1567" s="1" t="str">
        <f>IF(N1567="","",VLOOKUP(N1567,Prior_levels,2,TRUE))</f>
        <v>L</v>
      </c>
    </row>
    <row r="1568" spans="1:18" x14ac:dyDescent="0.2">
      <c r="A1568" s="1" t="s">
        <v>176</v>
      </c>
      <c r="B1568" s="1" t="s">
        <v>10</v>
      </c>
      <c r="C1568" s="2">
        <v>41155</v>
      </c>
      <c r="D1568" s="1">
        <v>10</v>
      </c>
      <c r="E1568" s="1" t="s">
        <v>47</v>
      </c>
      <c r="I1568" s="1" t="s">
        <v>12</v>
      </c>
      <c r="J1568" s="1" t="s">
        <v>177</v>
      </c>
      <c r="K1568" s="1" t="s">
        <v>14</v>
      </c>
      <c r="L1568" s="1" t="s">
        <v>12</v>
      </c>
      <c r="M1568" s="1" t="s">
        <v>12</v>
      </c>
      <c r="N1568" s="1">
        <v>21.12</v>
      </c>
      <c r="O1568" s="1" t="s">
        <v>27</v>
      </c>
      <c r="P1568" s="1" t="s">
        <v>28</v>
      </c>
      <c r="Q1568" s="1" t="s">
        <v>16</v>
      </c>
      <c r="R1568" s="1" t="str">
        <f>IF(N1568="","",VLOOKUP(N1568,Prior_levels,2,TRUE))</f>
        <v>L</v>
      </c>
    </row>
    <row r="1569" spans="1:18" x14ac:dyDescent="0.2">
      <c r="A1569" s="1" t="s">
        <v>176</v>
      </c>
      <c r="B1569" s="1" t="s">
        <v>10</v>
      </c>
      <c r="C1569" s="2">
        <v>41155</v>
      </c>
      <c r="D1569" s="1">
        <v>10</v>
      </c>
      <c r="E1569" s="1" t="s">
        <v>47</v>
      </c>
      <c r="I1569" s="1" t="s">
        <v>12</v>
      </c>
      <c r="J1569" s="1" t="s">
        <v>177</v>
      </c>
      <c r="K1569" s="1" t="s">
        <v>14</v>
      </c>
      <c r="L1569" s="1" t="s">
        <v>12</v>
      </c>
      <c r="M1569" s="1" t="s">
        <v>12</v>
      </c>
      <c r="N1569" s="1">
        <v>21.12</v>
      </c>
      <c r="O1569" s="1" t="s">
        <v>29</v>
      </c>
      <c r="P1569" s="1" t="s">
        <v>28</v>
      </c>
      <c r="Q1569" s="1" t="s">
        <v>16</v>
      </c>
      <c r="R1569" s="1" t="str">
        <f>IF(N1569="","",VLOOKUP(N1569,Prior_levels,2,TRUE))</f>
        <v>L</v>
      </c>
    </row>
    <row r="1570" spans="1:18" x14ac:dyDescent="0.2">
      <c r="A1570" s="1" t="s">
        <v>176</v>
      </c>
      <c r="B1570" s="1" t="s">
        <v>10</v>
      </c>
      <c r="C1570" s="2">
        <v>41155</v>
      </c>
      <c r="D1570" s="1">
        <v>10</v>
      </c>
      <c r="E1570" s="1" t="s">
        <v>47</v>
      </c>
      <c r="I1570" s="1" t="s">
        <v>12</v>
      </c>
      <c r="J1570" s="1" t="s">
        <v>177</v>
      </c>
      <c r="K1570" s="1" t="s">
        <v>14</v>
      </c>
      <c r="L1570" s="1" t="s">
        <v>12</v>
      </c>
      <c r="M1570" s="1" t="s">
        <v>12</v>
      </c>
      <c r="N1570" s="1">
        <v>21.12</v>
      </c>
      <c r="O1570" s="1" t="s">
        <v>30</v>
      </c>
      <c r="P1570" s="1" t="s">
        <v>28</v>
      </c>
      <c r="Q1570" s="1" t="s">
        <v>16</v>
      </c>
      <c r="R1570" s="1" t="str">
        <f>IF(N1570="","",VLOOKUP(N1570,Prior_levels,2,TRUE))</f>
        <v>L</v>
      </c>
    </row>
    <row r="1571" spans="1:18" x14ac:dyDescent="0.2">
      <c r="A1571" s="1" t="s">
        <v>176</v>
      </c>
      <c r="B1571" s="1" t="s">
        <v>10</v>
      </c>
      <c r="C1571" s="2">
        <v>41155</v>
      </c>
      <c r="D1571" s="1">
        <v>10</v>
      </c>
      <c r="E1571" s="1" t="s">
        <v>47</v>
      </c>
      <c r="I1571" s="1" t="s">
        <v>12</v>
      </c>
      <c r="J1571" s="1" t="s">
        <v>177</v>
      </c>
      <c r="K1571" s="1" t="s">
        <v>14</v>
      </c>
      <c r="L1571" s="1" t="s">
        <v>12</v>
      </c>
      <c r="M1571" s="1" t="s">
        <v>12</v>
      </c>
      <c r="N1571" s="1">
        <v>21.12</v>
      </c>
      <c r="O1571" s="1" t="s">
        <v>31</v>
      </c>
      <c r="P1571" s="1" t="s">
        <v>28</v>
      </c>
      <c r="Q1571" s="1" t="s">
        <v>16</v>
      </c>
      <c r="R1571" s="1" t="str">
        <f>IF(N1571="","",VLOOKUP(N1571,Prior_levels,2,TRUE))</f>
        <v>L</v>
      </c>
    </row>
    <row r="1572" spans="1:18" x14ac:dyDescent="0.2">
      <c r="A1572" s="1" t="s">
        <v>178</v>
      </c>
      <c r="B1572" s="1" t="s">
        <v>10</v>
      </c>
      <c r="C1572" s="2">
        <v>41155</v>
      </c>
      <c r="D1572" s="1">
        <v>10</v>
      </c>
      <c r="E1572" s="1" t="s">
        <v>52</v>
      </c>
      <c r="I1572" s="1" t="s">
        <v>12</v>
      </c>
      <c r="J1572" s="1" t="s">
        <v>127</v>
      </c>
      <c r="K1572" s="1" t="s">
        <v>14</v>
      </c>
      <c r="L1572" s="1" t="s">
        <v>12</v>
      </c>
      <c r="M1572" s="1" t="s">
        <v>12</v>
      </c>
      <c r="N1572" s="1">
        <v>21.12</v>
      </c>
      <c r="O1572" s="1" t="s">
        <v>15</v>
      </c>
      <c r="P1572" s="1">
        <v>3.9</v>
      </c>
      <c r="Q1572" s="1" t="s">
        <v>16</v>
      </c>
      <c r="R1572" s="1" t="str">
        <f>IF(N1572="","",VLOOKUP(N1572,Prior_levels,2,TRUE))</f>
        <v>L</v>
      </c>
    </row>
    <row r="1573" spans="1:18" x14ac:dyDescent="0.2">
      <c r="A1573" s="1" t="s">
        <v>178</v>
      </c>
      <c r="B1573" s="1" t="s">
        <v>10</v>
      </c>
      <c r="C1573" s="2">
        <v>41155</v>
      </c>
      <c r="D1573" s="1">
        <v>10</v>
      </c>
      <c r="E1573" s="1" t="s">
        <v>52</v>
      </c>
      <c r="I1573" s="1" t="s">
        <v>12</v>
      </c>
      <c r="J1573" s="1" t="s">
        <v>127</v>
      </c>
      <c r="K1573" s="1" t="s">
        <v>14</v>
      </c>
      <c r="L1573" s="1" t="s">
        <v>12</v>
      </c>
      <c r="M1573" s="1" t="s">
        <v>12</v>
      </c>
      <c r="N1573" s="1">
        <v>21.12</v>
      </c>
      <c r="O1573" s="1" t="s">
        <v>17</v>
      </c>
      <c r="P1573" s="1">
        <v>1.07</v>
      </c>
      <c r="Q1573" s="1" t="s">
        <v>16</v>
      </c>
      <c r="R1573" s="1" t="str">
        <f>IF(N1573="","",VLOOKUP(N1573,Prior_levels,2,TRUE))</f>
        <v>L</v>
      </c>
    </row>
    <row r="1574" spans="1:18" x14ac:dyDescent="0.2">
      <c r="A1574" s="1" t="s">
        <v>178</v>
      </c>
      <c r="B1574" s="1" t="s">
        <v>10</v>
      </c>
      <c r="C1574" s="2">
        <v>41155</v>
      </c>
      <c r="D1574" s="1">
        <v>10</v>
      </c>
      <c r="E1574" s="1" t="s">
        <v>52</v>
      </c>
      <c r="I1574" s="1" t="s">
        <v>12</v>
      </c>
      <c r="J1574" s="1" t="s">
        <v>127</v>
      </c>
      <c r="K1574" s="1" t="s">
        <v>14</v>
      </c>
      <c r="L1574" s="1" t="s">
        <v>12</v>
      </c>
      <c r="M1574" s="1" t="s">
        <v>12</v>
      </c>
      <c r="N1574" s="1">
        <v>21.12</v>
      </c>
      <c r="O1574" s="1" t="s">
        <v>18</v>
      </c>
      <c r="P1574" s="1">
        <v>10</v>
      </c>
      <c r="Q1574" s="1" t="s">
        <v>16</v>
      </c>
      <c r="R1574" s="1" t="str">
        <f>IF(N1574="","",VLOOKUP(N1574,Prior_levels,2,TRUE))</f>
        <v>L</v>
      </c>
    </row>
    <row r="1575" spans="1:18" x14ac:dyDescent="0.2">
      <c r="A1575" s="1" t="s">
        <v>178</v>
      </c>
      <c r="B1575" s="1" t="s">
        <v>10</v>
      </c>
      <c r="C1575" s="2">
        <v>41155</v>
      </c>
      <c r="D1575" s="1">
        <v>10</v>
      </c>
      <c r="E1575" s="1" t="s">
        <v>52</v>
      </c>
      <c r="I1575" s="1" t="s">
        <v>12</v>
      </c>
      <c r="J1575" s="1" t="s">
        <v>127</v>
      </c>
      <c r="K1575" s="1" t="s">
        <v>14</v>
      </c>
      <c r="L1575" s="1" t="s">
        <v>12</v>
      </c>
      <c r="M1575" s="1" t="s">
        <v>12</v>
      </c>
      <c r="N1575" s="1">
        <v>21.12</v>
      </c>
      <c r="O1575" s="1" t="s">
        <v>19</v>
      </c>
      <c r="P1575" s="1">
        <v>6</v>
      </c>
      <c r="Q1575" s="1" t="s">
        <v>16</v>
      </c>
      <c r="R1575" s="1" t="str">
        <f>IF(N1575="","",VLOOKUP(N1575,Prior_levels,2,TRUE))</f>
        <v>L</v>
      </c>
    </row>
    <row r="1576" spans="1:18" x14ac:dyDescent="0.2">
      <c r="A1576" s="1" t="s">
        <v>178</v>
      </c>
      <c r="B1576" s="1" t="s">
        <v>10</v>
      </c>
      <c r="C1576" s="2">
        <v>41155</v>
      </c>
      <c r="D1576" s="1">
        <v>10</v>
      </c>
      <c r="E1576" s="1" t="s">
        <v>52</v>
      </c>
      <c r="I1576" s="1" t="s">
        <v>12</v>
      </c>
      <c r="J1576" s="1" t="s">
        <v>127</v>
      </c>
      <c r="K1576" s="1" t="s">
        <v>14</v>
      </c>
      <c r="L1576" s="1" t="s">
        <v>12</v>
      </c>
      <c r="M1576" s="1" t="s">
        <v>12</v>
      </c>
      <c r="N1576" s="1">
        <v>21.12</v>
      </c>
      <c r="O1576" s="1" t="s">
        <v>20</v>
      </c>
      <c r="P1576" s="1">
        <v>10</v>
      </c>
      <c r="Q1576" s="1" t="s">
        <v>16</v>
      </c>
      <c r="R1576" s="1" t="str">
        <f>IF(N1576="","",VLOOKUP(N1576,Prior_levels,2,TRUE))</f>
        <v>L</v>
      </c>
    </row>
    <row r="1577" spans="1:18" x14ac:dyDescent="0.2">
      <c r="A1577" s="1" t="s">
        <v>178</v>
      </c>
      <c r="B1577" s="1" t="s">
        <v>10</v>
      </c>
      <c r="C1577" s="2">
        <v>41155</v>
      </c>
      <c r="D1577" s="1">
        <v>10</v>
      </c>
      <c r="E1577" s="1" t="s">
        <v>52</v>
      </c>
      <c r="I1577" s="1" t="s">
        <v>12</v>
      </c>
      <c r="J1577" s="1" t="s">
        <v>127</v>
      </c>
      <c r="K1577" s="1" t="s">
        <v>14</v>
      </c>
      <c r="L1577" s="1" t="s">
        <v>12</v>
      </c>
      <c r="M1577" s="1" t="s">
        <v>12</v>
      </c>
      <c r="N1577" s="1">
        <v>21.12</v>
      </c>
      <c r="O1577" s="1" t="s">
        <v>21</v>
      </c>
      <c r="P1577" s="1">
        <v>13</v>
      </c>
      <c r="Q1577" s="1" t="s">
        <v>16</v>
      </c>
      <c r="R1577" s="1" t="str">
        <f>IF(N1577="","",VLOOKUP(N1577,Prior_levels,2,TRUE))</f>
        <v>L</v>
      </c>
    </row>
    <row r="1578" spans="1:18" x14ac:dyDescent="0.2">
      <c r="A1578" s="1" t="s">
        <v>178</v>
      </c>
      <c r="B1578" s="1" t="s">
        <v>10</v>
      </c>
      <c r="C1578" s="2">
        <v>41155</v>
      </c>
      <c r="D1578" s="1">
        <v>10</v>
      </c>
      <c r="E1578" s="1" t="s">
        <v>52</v>
      </c>
      <c r="I1578" s="1" t="s">
        <v>12</v>
      </c>
      <c r="J1578" s="1" t="s">
        <v>127</v>
      </c>
      <c r="K1578" s="1" t="s">
        <v>14</v>
      </c>
      <c r="L1578" s="1" t="s">
        <v>12</v>
      </c>
      <c r="M1578" s="1" t="s">
        <v>12</v>
      </c>
      <c r="N1578" s="1">
        <v>21.12</v>
      </c>
      <c r="O1578" s="1" t="s">
        <v>22</v>
      </c>
      <c r="P1578" s="1">
        <v>1.34</v>
      </c>
      <c r="Q1578" s="1" t="s">
        <v>16</v>
      </c>
      <c r="R1578" s="1" t="str">
        <f>IF(N1578="","",VLOOKUP(N1578,Prior_levels,2,TRUE))</f>
        <v>L</v>
      </c>
    </row>
    <row r="1579" spans="1:18" x14ac:dyDescent="0.2">
      <c r="A1579" s="1" t="s">
        <v>178</v>
      </c>
      <c r="B1579" s="1" t="s">
        <v>10</v>
      </c>
      <c r="C1579" s="2">
        <v>41155</v>
      </c>
      <c r="D1579" s="1">
        <v>10</v>
      </c>
      <c r="E1579" s="1" t="s">
        <v>52</v>
      </c>
      <c r="I1579" s="1" t="s">
        <v>12</v>
      </c>
      <c r="J1579" s="1" t="s">
        <v>127</v>
      </c>
      <c r="K1579" s="1" t="s">
        <v>14</v>
      </c>
      <c r="L1579" s="1" t="s">
        <v>12</v>
      </c>
      <c r="M1579" s="1" t="s">
        <v>12</v>
      </c>
      <c r="N1579" s="1">
        <v>21.12</v>
      </c>
      <c r="O1579" s="1" t="s">
        <v>23</v>
      </c>
      <c r="P1579" s="1">
        <v>0.39</v>
      </c>
      <c r="Q1579" s="1" t="s">
        <v>16</v>
      </c>
      <c r="R1579" s="1" t="str">
        <f>IF(N1579="","",VLOOKUP(N1579,Prior_levels,2,TRUE))</f>
        <v>L</v>
      </c>
    </row>
    <row r="1580" spans="1:18" x14ac:dyDescent="0.2">
      <c r="A1580" s="1" t="s">
        <v>178</v>
      </c>
      <c r="B1580" s="1" t="s">
        <v>10</v>
      </c>
      <c r="C1580" s="2">
        <v>41155</v>
      </c>
      <c r="D1580" s="1">
        <v>10</v>
      </c>
      <c r="E1580" s="1" t="s">
        <v>52</v>
      </c>
      <c r="I1580" s="1" t="s">
        <v>12</v>
      </c>
      <c r="J1580" s="1" t="s">
        <v>127</v>
      </c>
      <c r="K1580" s="1" t="s">
        <v>14</v>
      </c>
      <c r="L1580" s="1" t="s">
        <v>12</v>
      </c>
      <c r="M1580" s="1" t="s">
        <v>12</v>
      </c>
      <c r="N1580" s="1">
        <v>21.12</v>
      </c>
      <c r="O1580" s="1" t="s">
        <v>24</v>
      </c>
      <c r="P1580" s="1">
        <v>5.49</v>
      </c>
      <c r="Q1580" s="1" t="s">
        <v>16</v>
      </c>
      <c r="R1580" s="1" t="str">
        <f>IF(N1580="","",VLOOKUP(N1580,Prior_levels,2,TRUE))</f>
        <v>L</v>
      </c>
    </row>
    <row r="1581" spans="1:18" x14ac:dyDescent="0.2">
      <c r="A1581" s="1" t="s">
        <v>178</v>
      </c>
      <c r="B1581" s="1" t="s">
        <v>10</v>
      </c>
      <c r="C1581" s="2">
        <v>41155</v>
      </c>
      <c r="D1581" s="1">
        <v>10</v>
      </c>
      <c r="E1581" s="1" t="s">
        <v>52</v>
      </c>
      <c r="I1581" s="1" t="s">
        <v>12</v>
      </c>
      <c r="J1581" s="1" t="s">
        <v>127</v>
      </c>
      <c r="K1581" s="1" t="s">
        <v>14</v>
      </c>
      <c r="L1581" s="1" t="s">
        <v>12</v>
      </c>
      <c r="M1581" s="1" t="s">
        <v>12</v>
      </c>
      <c r="N1581" s="1">
        <v>21.12</v>
      </c>
      <c r="O1581" s="1" t="s">
        <v>25</v>
      </c>
      <c r="P1581" s="1">
        <v>1.8</v>
      </c>
      <c r="Q1581" s="1" t="s">
        <v>16</v>
      </c>
      <c r="R1581" s="1" t="str">
        <f>IF(N1581="","",VLOOKUP(N1581,Prior_levels,2,TRUE))</f>
        <v>L</v>
      </c>
    </row>
    <row r="1582" spans="1:18" x14ac:dyDescent="0.2">
      <c r="A1582" s="1" t="s">
        <v>178</v>
      </c>
      <c r="B1582" s="1" t="s">
        <v>10</v>
      </c>
      <c r="C1582" s="2">
        <v>41155</v>
      </c>
      <c r="D1582" s="1">
        <v>10</v>
      </c>
      <c r="E1582" s="1" t="s">
        <v>52</v>
      </c>
      <c r="I1582" s="1" t="s">
        <v>12</v>
      </c>
      <c r="J1582" s="1" t="s">
        <v>127</v>
      </c>
      <c r="K1582" s="1" t="s">
        <v>14</v>
      </c>
      <c r="L1582" s="1" t="s">
        <v>12</v>
      </c>
      <c r="M1582" s="1" t="s">
        <v>12</v>
      </c>
      <c r="N1582" s="1">
        <v>21.12</v>
      </c>
      <c r="O1582" s="1" t="s">
        <v>26</v>
      </c>
      <c r="P1582" s="1">
        <v>6</v>
      </c>
      <c r="Q1582" s="1" t="s">
        <v>16</v>
      </c>
      <c r="R1582" s="1" t="str">
        <f>IF(N1582="","",VLOOKUP(N1582,Prior_levels,2,TRUE))</f>
        <v>L</v>
      </c>
    </row>
    <row r="1583" spans="1:18" x14ac:dyDescent="0.2">
      <c r="A1583" s="1" t="s">
        <v>178</v>
      </c>
      <c r="B1583" s="1" t="s">
        <v>10</v>
      </c>
      <c r="C1583" s="2">
        <v>41155</v>
      </c>
      <c r="D1583" s="1">
        <v>10</v>
      </c>
      <c r="E1583" s="1" t="s">
        <v>52</v>
      </c>
      <c r="I1583" s="1" t="s">
        <v>12</v>
      </c>
      <c r="J1583" s="1" t="s">
        <v>127</v>
      </c>
      <c r="K1583" s="1" t="s">
        <v>14</v>
      </c>
      <c r="L1583" s="1" t="s">
        <v>12</v>
      </c>
      <c r="M1583" s="1" t="s">
        <v>12</v>
      </c>
      <c r="N1583" s="1">
        <v>21.12</v>
      </c>
      <c r="O1583" s="1" t="s">
        <v>27</v>
      </c>
      <c r="P1583" s="1" t="s">
        <v>28</v>
      </c>
      <c r="Q1583" s="1" t="s">
        <v>16</v>
      </c>
      <c r="R1583" s="1" t="str">
        <f>IF(N1583="","",VLOOKUP(N1583,Prior_levels,2,TRUE))</f>
        <v>L</v>
      </c>
    </row>
    <row r="1584" spans="1:18" x14ac:dyDescent="0.2">
      <c r="A1584" s="1" t="s">
        <v>178</v>
      </c>
      <c r="B1584" s="1" t="s">
        <v>10</v>
      </c>
      <c r="C1584" s="2">
        <v>41155</v>
      </c>
      <c r="D1584" s="1">
        <v>10</v>
      </c>
      <c r="E1584" s="1" t="s">
        <v>52</v>
      </c>
      <c r="I1584" s="1" t="s">
        <v>12</v>
      </c>
      <c r="J1584" s="1" t="s">
        <v>127</v>
      </c>
      <c r="K1584" s="1" t="s">
        <v>14</v>
      </c>
      <c r="L1584" s="1" t="s">
        <v>12</v>
      </c>
      <c r="M1584" s="1" t="s">
        <v>12</v>
      </c>
      <c r="N1584" s="1">
        <v>21.12</v>
      </c>
      <c r="O1584" s="1" t="s">
        <v>29</v>
      </c>
      <c r="P1584" s="1" t="s">
        <v>37</v>
      </c>
      <c r="Q1584" s="1" t="s">
        <v>16</v>
      </c>
      <c r="R1584" s="1" t="str">
        <f>IF(N1584="","",VLOOKUP(N1584,Prior_levels,2,TRUE))</f>
        <v>L</v>
      </c>
    </row>
    <row r="1585" spans="1:18" x14ac:dyDescent="0.2">
      <c r="A1585" s="1" t="s">
        <v>178</v>
      </c>
      <c r="B1585" s="1" t="s">
        <v>10</v>
      </c>
      <c r="C1585" s="2">
        <v>41155</v>
      </c>
      <c r="D1585" s="1">
        <v>10</v>
      </c>
      <c r="E1585" s="1" t="s">
        <v>52</v>
      </c>
      <c r="I1585" s="1" t="s">
        <v>12</v>
      </c>
      <c r="J1585" s="1" t="s">
        <v>127</v>
      </c>
      <c r="K1585" s="1" t="s">
        <v>14</v>
      </c>
      <c r="L1585" s="1" t="s">
        <v>12</v>
      </c>
      <c r="M1585" s="1" t="s">
        <v>12</v>
      </c>
      <c r="N1585" s="1">
        <v>21.12</v>
      </c>
      <c r="O1585" s="1" t="s">
        <v>30</v>
      </c>
      <c r="P1585" s="1" t="s">
        <v>28</v>
      </c>
      <c r="Q1585" s="1" t="s">
        <v>16</v>
      </c>
      <c r="R1585" s="1" t="str">
        <f>IF(N1585="","",VLOOKUP(N1585,Prior_levels,2,TRUE))</f>
        <v>L</v>
      </c>
    </row>
    <row r="1586" spans="1:18" x14ac:dyDescent="0.2">
      <c r="A1586" s="1" t="s">
        <v>178</v>
      </c>
      <c r="B1586" s="1" t="s">
        <v>10</v>
      </c>
      <c r="C1586" s="2">
        <v>41155</v>
      </c>
      <c r="D1586" s="1">
        <v>10</v>
      </c>
      <c r="E1586" s="1" t="s">
        <v>52</v>
      </c>
      <c r="I1586" s="1" t="s">
        <v>12</v>
      </c>
      <c r="J1586" s="1" t="s">
        <v>127</v>
      </c>
      <c r="K1586" s="1" t="s">
        <v>14</v>
      </c>
      <c r="L1586" s="1" t="s">
        <v>12</v>
      </c>
      <c r="M1586" s="1" t="s">
        <v>12</v>
      </c>
      <c r="N1586" s="1">
        <v>21.12</v>
      </c>
      <c r="O1586" s="1" t="s">
        <v>31</v>
      </c>
      <c r="P1586" s="1" t="s">
        <v>28</v>
      </c>
      <c r="Q1586" s="1" t="s">
        <v>16</v>
      </c>
      <c r="R1586" s="1" t="str">
        <f>IF(N1586="","",VLOOKUP(N1586,Prior_levels,2,TRUE))</f>
        <v>L</v>
      </c>
    </row>
    <row r="1587" spans="1:18" x14ac:dyDescent="0.2">
      <c r="A1587" s="1" t="s">
        <v>178</v>
      </c>
      <c r="B1587" s="1" t="s">
        <v>10</v>
      </c>
      <c r="C1587" s="2">
        <v>41155</v>
      </c>
      <c r="D1587" s="1">
        <v>10</v>
      </c>
      <c r="E1587" s="1" t="s">
        <v>52</v>
      </c>
      <c r="I1587" s="1" t="s">
        <v>12</v>
      </c>
      <c r="J1587" s="1" t="s">
        <v>127</v>
      </c>
      <c r="K1587" s="1" t="s">
        <v>14</v>
      </c>
      <c r="L1587" s="1" t="s">
        <v>12</v>
      </c>
      <c r="M1587" s="1" t="s">
        <v>12</v>
      </c>
      <c r="N1587" s="1">
        <v>21.12</v>
      </c>
      <c r="O1587" s="1" t="s">
        <v>32</v>
      </c>
      <c r="P1587" s="1" t="s">
        <v>28</v>
      </c>
      <c r="Q1587" s="1" t="s">
        <v>16</v>
      </c>
      <c r="R1587" s="1" t="str">
        <f>IF(N1587="","",VLOOKUP(N1587,Prior_levels,2,TRUE))</f>
        <v>L</v>
      </c>
    </row>
    <row r="1588" spans="1:18" x14ac:dyDescent="0.2">
      <c r="A1588" s="1" t="s">
        <v>179</v>
      </c>
      <c r="B1588" s="1" t="s">
        <v>10</v>
      </c>
      <c r="C1588" s="2">
        <v>41155</v>
      </c>
      <c r="D1588" s="1">
        <v>10</v>
      </c>
      <c r="E1588" s="1" t="s">
        <v>47</v>
      </c>
      <c r="I1588" s="1" t="s">
        <v>12</v>
      </c>
      <c r="J1588" s="1" t="s">
        <v>66</v>
      </c>
      <c r="K1588" s="1" t="s">
        <v>14</v>
      </c>
      <c r="L1588" s="1" t="s">
        <v>12</v>
      </c>
      <c r="M1588" s="1" t="s">
        <v>12</v>
      </c>
      <c r="N1588" s="1">
        <v>21.12</v>
      </c>
      <c r="O1588" s="1" t="s">
        <v>15</v>
      </c>
      <c r="P1588" s="1">
        <v>3.5</v>
      </c>
      <c r="Q1588" s="1" t="s">
        <v>16</v>
      </c>
      <c r="R1588" s="1" t="str">
        <f>IF(N1588="","",VLOOKUP(N1588,Prior_levels,2,TRUE))</f>
        <v>L</v>
      </c>
    </row>
    <row r="1589" spans="1:18" x14ac:dyDescent="0.2">
      <c r="A1589" s="1" t="s">
        <v>179</v>
      </c>
      <c r="B1589" s="1" t="s">
        <v>10</v>
      </c>
      <c r="C1589" s="2">
        <v>41155</v>
      </c>
      <c r="D1589" s="1">
        <v>10</v>
      </c>
      <c r="E1589" s="1" t="s">
        <v>47</v>
      </c>
      <c r="I1589" s="1" t="s">
        <v>12</v>
      </c>
      <c r="J1589" s="1" t="s">
        <v>66</v>
      </c>
      <c r="K1589" s="1" t="s">
        <v>14</v>
      </c>
      <c r="L1589" s="1" t="s">
        <v>12</v>
      </c>
      <c r="M1589" s="1" t="s">
        <v>12</v>
      </c>
      <c r="N1589" s="1">
        <v>21.12</v>
      </c>
      <c r="O1589" s="1" t="s">
        <v>17</v>
      </c>
      <c r="P1589" s="1">
        <v>0.67</v>
      </c>
      <c r="Q1589" s="1" t="s">
        <v>16</v>
      </c>
      <c r="R1589" s="1" t="str">
        <f>IF(N1589="","",VLOOKUP(N1589,Prior_levels,2,TRUE))</f>
        <v>L</v>
      </c>
    </row>
    <row r="1590" spans="1:18" x14ac:dyDescent="0.2">
      <c r="A1590" s="1" t="s">
        <v>179</v>
      </c>
      <c r="B1590" s="1" t="s">
        <v>10</v>
      </c>
      <c r="C1590" s="2">
        <v>41155</v>
      </c>
      <c r="D1590" s="1">
        <v>10</v>
      </c>
      <c r="E1590" s="1" t="s">
        <v>47</v>
      </c>
      <c r="I1590" s="1" t="s">
        <v>12</v>
      </c>
      <c r="J1590" s="1" t="s">
        <v>66</v>
      </c>
      <c r="K1590" s="1" t="s">
        <v>14</v>
      </c>
      <c r="L1590" s="1" t="s">
        <v>12</v>
      </c>
      <c r="M1590" s="1" t="s">
        <v>12</v>
      </c>
      <c r="N1590" s="1">
        <v>21.12</v>
      </c>
      <c r="O1590" s="1" t="s">
        <v>18</v>
      </c>
      <c r="P1590" s="1">
        <v>8</v>
      </c>
      <c r="Q1590" s="1" t="s">
        <v>16</v>
      </c>
      <c r="R1590" s="1" t="str">
        <f>IF(N1590="","",VLOOKUP(N1590,Prior_levels,2,TRUE))</f>
        <v>L</v>
      </c>
    </row>
    <row r="1591" spans="1:18" x14ac:dyDescent="0.2">
      <c r="A1591" s="1" t="s">
        <v>179</v>
      </c>
      <c r="B1591" s="1" t="s">
        <v>10</v>
      </c>
      <c r="C1591" s="2">
        <v>41155</v>
      </c>
      <c r="D1591" s="1">
        <v>10</v>
      </c>
      <c r="E1591" s="1" t="s">
        <v>47</v>
      </c>
      <c r="I1591" s="1" t="s">
        <v>12</v>
      </c>
      <c r="J1591" s="1" t="s">
        <v>66</v>
      </c>
      <c r="K1591" s="1" t="s">
        <v>14</v>
      </c>
      <c r="L1591" s="1" t="s">
        <v>12</v>
      </c>
      <c r="M1591" s="1" t="s">
        <v>12</v>
      </c>
      <c r="N1591" s="1">
        <v>21.12</v>
      </c>
      <c r="O1591" s="1" t="s">
        <v>19</v>
      </c>
      <c r="P1591" s="1">
        <v>8</v>
      </c>
      <c r="Q1591" s="1" t="s">
        <v>16</v>
      </c>
      <c r="R1591" s="1" t="str">
        <f>IF(N1591="","",VLOOKUP(N1591,Prior_levels,2,TRUE))</f>
        <v>L</v>
      </c>
    </row>
    <row r="1592" spans="1:18" x14ac:dyDescent="0.2">
      <c r="A1592" s="1" t="s">
        <v>179</v>
      </c>
      <c r="B1592" s="1" t="s">
        <v>10</v>
      </c>
      <c r="C1592" s="2">
        <v>41155</v>
      </c>
      <c r="D1592" s="1">
        <v>10</v>
      </c>
      <c r="E1592" s="1" t="s">
        <v>47</v>
      </c>
      <c r="I1592" s="1" t="s">
        <v>12</v>
      </c>
      <c r="J1592" s="1" t="s">
        <v>66</v>
      </c>
      <c r="K1592" s="1" t="s">
        <v>14</v>
      </c>
      <c r="L1592" s="1" t="s">
        <v>12</v>
      </c>
      <c r="M1592" s="1" t="s">
        <v>12</v>
      </c>
      <c r="N1592" s="1">
        <v>21.12</v>
      </c>
      <c r="O1592" s="1" t="s">
        <v>20</v>
      </c>
      <c r="P1592" s="1">
        <v>9</v>
      </c>
      <c r="Q1592" s="1" t="s">
        <v>16</v>
      </c>
      <c r="R1592" s="1" t="str">
        <f>IF(N1592="","",VLOOKUP(N1592,Prior_levels,2,TRUE))</f>
        <v>L</v>
      </c>
    </row>
    <row r="1593" spans="1:18" x14ac:dyDescent="0.2">
      <c r="A1593" s="1" t="s">
        <v>179</v>
      </c>
      <c r="B1593" s="1" t="s">
        <v>10</v>
      </c>
      <c r="C1593" s="2">
        <v>41155</v>
      </c>
      <c r="D1593" s="1">
        <v>10</v>
      </c>
      <c r="E1593" s="1" t="s">
        <v>47</v>
      </c>
      <c r="I1593" s="1" t="s">
        <v>12</v>
      </c>
      <c r="J1593" s="1" t="s">
        <v>66</v>
      </c>
      <c r="K1593" s="1" t="s">
        <v>14</v>
      </c>
      <c r="L1593" s="1" t="s">
        <v>12</v>
      </c>
      <c r="M1593" s="1" t="s">
        <v>12</v>
      </c>
      <c r="N1593" s="1">
        <v>21.12</v>
      </c>
      <c r="O1593" s="1" t="s">
        <v>21</v>
      </c>
      <c r="P1593" s="1">
        <v>10</v>
      </c>
      <c r="Q1593" s="1" t="s">
        <v>16</v>
      </c>
      <c r="R1593" s="1" t="str">
        <f>IF(N1593="","",VLOOKUP(N1593,Prior_levels,2,TRUE))</f>
        <v>L</v>
      </c>
    </row>
    <row r="1594" spans="1:18" x14ac:dyDescent="0.2">
      <c r="A1594" s="1" t="s">
        <v>179</v>
      </c>
      <c r="B1594" s="1" t="s">
        <v>10</v>
      </c>
      <c r="C1594" s="2">
        <v>41155</v>
      </c>
      <c r="D1594" s="1">
        <v>10</v>
      </c>
      <c r="E1594" s="1" t="s">
        <v>47</v>
      </c>
      <c r="I1594" s="1" t="s">
        <v>12</v>
      </c>
      <c r="J1594" s="1" t="s">
        <v>66</v>
      </c>
      <c r="K1594" s="1" t="s">
        <v>14</v>
      </c>
      <c r="L1594" s="1" t="s">
        <v>12</v>
      </c>
      <c r="M1594" s="1" t="s">
        <v>12</v>
      </c>
      <c r="N1594" s="1">
        <v>21.12</v>
      </c>
      <c r="O1594" s="1" t="s">
        <v>22</v>
      </c>
      <c r="P1594" s="1">
        <v>0.34</v>
      </c>
      <c r="Q1594" s="1" t="s">
        <v>16</v>
      </c>
      <c r="R1594" s="1" t="str">
        <f>IF(N1594="","",VLOOKUP(N1594,Prior_levels,2,TRUE))</f>
        <v>L</v>
      </c>
    </row>
    <row r="1595" spans="1:18" x14ac:dyDescent="0.2">
      <c r="A1595" s="1" t="s">
        <v>179</v>
      </c>
      <c r="B1595" s="1" t="s">
        <v>10</v>
      </c>
      <c r="C1595" s="2">
        <v>41155</v>
      </c>
      <c r="D1595" s="1">
        <v>10</v>
      </c>
      <c r="E1595" s="1" t="s">
        <v>47</v>
      </c>
      <c r="I1595" s="1" t="s">
        <v>12</v>
      </c>
      <c r="J1595" s="1" t="s">
        <v>66</v>
      </c>
      <c r="K1595" s="1" t="s">
        <v>14</v>
      </c>
      <c r="L1595" s="1" t="s">
        <v>12</v>
      </c>
      <c r="M1595" s="1" t="s">
        <v>12</v>
      </c>
      <c r="N1595" s="1">
        <v>21.12</v>
      </c>
      <c r="O1595" s="1" t="s">
        <v>23</v>
      </c>
      <c r="P1595" s="1">
        <v>1.39</v>
      </c>
      <c r="Q1595" s="1" t="s">
        <v>16</v>
      </c>
      <c r="R1595" s="1" t="str">
        <f>IF(N1595="","",VLOOKUP(N1595,Prior_levels,2,TRUE))</f>
        <v>L</v>
      </c>
    </row>
    <row r="1596" spans="1:18" x14ac:dyDescent="0.2">
      <c r="A1596" s="1" t="s">
        <v>179</v>
      </c>
      <c r="B1596" s="1" t="s">
        <v>10</v>
      </c>
      <c r="C1596" s="2">
        <v>41155</v>
      </c>
      <c r="D1596" s="1">
        <v>10</v>
      </c>
      <c r="E1596" s="1" t="s">
        <v>47</v>
      </c>
      <c r="I1596" s="1" t="s">
        <v>12</v>
      </c>
      <c r="J1596" s="1" t="s">
        <v>66</v>
      </c>
      <c r="K1596" s="1" t="s">
        <v>14</v>
      </c>
      <c r="L1596" s="1" t="s">
        <v>12</v>
      </c>
      <c r="M1596" s="1" t="s">
        <v>12</v>
      </c>
      <c r="N1596" s="1">
        <v>21.12</v>
      </c>
      <c r="O1596" s="1" t="s">
        <v>24</v>
      </c>
      <c r="P1596" s="1">
        <v>4.49</v>
      </c>
      <c r="Q1596" s="1" t="s">
        <v>16</v>
      </c>
      <c r="R1596" s="1" t="str">
        <f>IF(N1596="","",VLOOKUP(N1596,Prior_levels,2,TRUE))</f>
        <v>L</v>
      </c>
    </row>
    <row r="1597" spans="1:18" x14ac:dyDescent="0.2">
      <c r="A1597" s="1" t="s">
        <v>179</v>
      </c>
      <c r="B1597" s="1" t="s">
        <v>10</v>
      </c>
      <c r="C1597" s="2">
        <v>41155</v>
      </c>
      <c r="D1597" s="1">
        <v>10</v>
      </c>
      <c r="E1597" s="1" t="s">
        <v>47</v>
      </c>
      <c r="I1597" s="1" t="s">
        <v>12</v>
      </c>
      <c r="J1597" s="1" t="s">
        <v>66</v>
      </c>
      <c r="K1597" s="1" t="s">
        <v>14</v>
      </c>
      <c r="L1597" s="1" t="s">
        <v>12</v>
      </c>
      <c r="M1597" s="1" t="s">
        <v>12</v>
      </c>
      <c r="N1597" s="1">
        <v>21.12</v>
      </c>
      <c r="O1597" s="1" t="s">
        <v>25</v>
      </c>
      <c r="P1597" s="1">
        <v>-1.2</v>
      </c>
      <c r="Q1597" s="1" t="s">
        <v>16</v>
      </c>
      <c r="R1597" s="1" t="str">
        <f>IF(N1597="","",VLOOKUP(N1597,Prior_levels,2,TRUE))</f>
        <v>L</v>
      </c>
    </row>
    <row r="1598" spans="1:18" x14ac:dyDescent="0.2">
      <c r="A1598" s="1" t="s">
        <v>179</v>
      </c>
      <c r="B1598" s="1" t="s">
        <v>10</v>
      </c>
      <c r="C1598" s="2">
        <v>41155</v>
      </c>
      <c r="D1598" s="1">
        <v>10</v>
      </c>
      <c r="E1598" s="1" t="s">
        <v>47</v>
      </c>
      <c r="I1598" s="1" t="s">
        <v>12</v>
      </c>
      <c r="J1598" s="1" t="s">
        <v>66</v>
      </c>
      <c r="K1598" s="1" t="s">
        <v>14</v>
      </c>
      <c r="L1598" s="1" t="s">
        <v>12</v>
      </c>
      <c r="M1598" s="1" t="s">
        <v>12</v>
      </c>
      <c r="N1598" s="1">
        <v>21.12</v>
      </c>
      <c r="O1598" s="1" t="s">
        <v>26</v>
      </c>
      <c r="P1598" s="1">
        <v>0</v>
      </c>
      <c r="Q1598" s="1" t="s">
        <v>16</v>
      </c>
      <c r="R1598" s="1" t="str">
        <f>IF(N1598="","",VLOOKUP(N1598,Prior_levels,2,TRUE))</f>
        <v>L</v>
      </c>
    </row>
    <row r="1599" spans="1:18" x14ac:dyDescent="0.2">
      <c r="A1599" s="1" t="s">
        <v>179</v>
      </c>
      <c r="B1599" s="1" t="s">
        <v>10</v>
      </c>
      <c r="C1599" s="2">
        <v>41155</v>
      </c>
      <c r="D1599" s="1">
        <v>10</v>
      </c>
      <c r="E1599" s="1" t="s">
        <v>47</v>
      </c>
      <c r="I1599" s="1" t="s">
        <v>12</v>
      </c>
      <c r="J1599" s="1" t="s">
        <v>66</v>
      </c>
      <c r="K1599" s="1" t="s">
        <v>14</v>
      </c>
      <c r="L1599" s="1" t="s">
        <v>12</v>
      </c>
      <c r="M1599" s="1" t="s">
        <v>12</v>
      </c>
      <c r="N1599" s="1">
        <v>21.12</v>
      </c>
      <c r="O1599" s="1" t="s">
        <v>32</v>
      </c>
      <c r="P1599" s="1" t="s">
        <v>28</v>
      </c>
      <c r="Q1599" s="1" t="s">
        <v>16</v>
      </c>
      <c r="R1599" s="1" t="str">
        <f>IF(N1599="","",VLOOKUP(N1599,Prior_levels,2,TRUE))</f>
        <v>L</v>
      </c>
    </row>
    <row r="1600" spans="1:18" x14ac:dyDescent="0.2">
      <c r="A1600" s="1" t="s">
        <v>179</v>
      </c>
      <c r="B1600" s="1" t="s">
        <v>10</v>
      </c>
      <c r="C1600" s="2">
        <v>41155</v>
      </c>
      <c r="D1600" s="1">
        <v>10</v>
      </c>
      <c r="E1600" s="1" t="s">
        <v>47</v>
      </c>
      <c r="I1600" s="1" t="s">
        <v>12</v>
      </c>
      <c r="J1600" s="1" t="s">
        <v>66</v>
      </c>
      <c r="K1600" s="1" t="s">
        <v>14</v>
      </c>
      <c r="L1600" s="1" t="s">
        <v>12</v>
      </c>
      <c r="M1600" s="1" t="s">
        <v>12</v>
      </c>
      <c r="N1600" s="1">
        <v>21.12</v>
      </c>
      <c r="O1600" s="1" t="s">
        <v>27</v>
      </c>
      <c r="P1600" s="1" t="s">
        <v>28</v>
      </c>
      <c r="Q1600" s="1" t="s">
        <v>16</v>
      </c>
      <c r="R1600" s="1" t="str">
        <f>IF(N1600="","",VLOOKUP(N1600,Prior_levels,2,TRUE))</f>
        <v>L</v>
      </c>
    </row>
    <row r="1601" spans="1:18" x14ac:dyDescent="0.2">
      <c r="A1601" s="1" t="s">
        <v>179</v>
      </c>
      <c r="B1601" s="1" t="s">
        <v>10</v>
      </c>
      <c r="C1601" s="2">
        <v>41155</v>
      </c>
      <c r="D1601" s="1">
        <v>10</v>
      </c>
      <c r="E1601" s="1" t="s">
        <v>47</v>
      </c>
      <c r="I1601" s="1" t="s">
        <v>12</v>
      </c>
      <c r="J1601" s="1" t="s">
        <v>66</v>
      </c>
      <c r="K1601" s="1" t="s">
        <v>14</v>
      </c>
      <c r="L1601" s="1" t="s">
        <v>12</v>
      </c>
      <c r="M1601" s="1" t="s">
        <v>12</v>
      </c>
      <c r="N1601" s="1">
        <v>21.12</v>
      </c>
      <c r="O1601" s="1" t="s">
        <v>29</v>
      </c>
      <c r="P1601" s="1" t="s">
        <v>28</v>
      </c>
      <c r="Q1601" s="1" t="s">
        <v>16</v>
      </c>
      <c r="R1601" s="1" t="str">
        <f>IF(N1601="","",VLOOKUP(N1601,Prior_levels,2,TRUE))</f>
        <v>L</v>
      </c>
    </row>
    <row r="1602" spans="1:18" x14ac:dyDescent="0.2">
      <c r="A1602" s="1" t="s">
        <v>179</v>
      </c>
      <c r="B1602" s="1" t="s">
        <v>10</v>
      </c>
      <c r="C1602" s="2">
        <v>41155</v>
      </c>
      <c r="D1602" s="1">
        <v>10</v>
      </c>
      <c r="E1602" s="1" t="s">
        <v>47</v>
      </c>
      <c r="I1602" s="1" t="s">
        <v>12</v>
      </c>
      <c r="J1602" s="1" t="s">
        <v>66</v>
      </c>
      <c r="K1602" s="1" t="s">
        <v>14</v>
      </c>
      <c r="L1602" s="1" t="s">
        <v>12</v>
      </c>
      <c r="M1602" s="1" t="s">
        <v>12</v>
      </c>
      <c r="N1602" s="1">
        <v>21.12</v>
      </c>
      <c r="O1602" s="1" t="s">
        <v>30</v>
      </c>
      <c r="P1602" s="1" t="s">
        <v>28</v>
      </c>
      <c r="Q1602" s="1" t="s">
        <v>16</v>
      </c>
      <c r="R1602" s="1" t="str">
        <f>IF(N1602="","",VLOOKUP(N1602,Prior_levels,2,TRUE))</f>
        <v>L</v>
      </c>
    </row>
    <row r="1603" spans="1:18" x14ac:dyDescent="0.2">
      <c r="A1603" s="1" t="s">
        <v>179</v>
      </c>
      <c r="B1603" s="1" t="s">
        <v>10</v>
      </c>
      <c r="C1603" s="2">
        <v>41155</v>
      </c>
      <c r="D1603" s="1">
        <v>10</v>
      </c>
      <c r="E1603" s="1" t="s">
        <v>47</v>
      </c>
      <c r="I1603" s="1" t="s">
        <v>12</v>
      </c>
      <c r="J1603" s="1" t="s">
        <v>66</v>
      </c>
      <c r="K1603" s="1" t="s">
        <v>14</v>
      </c>
      <c r="L1603" s="1" t="s">
        <v>12</v>
      </c>
      <c r="M1603" s="1" t="s">
        <v>12</v>
      </c>
      <c r="N1603" s="1">
        <v>21.12</v>
      </c>
      <c r="O1603" s="1" t="s">
        <v>31</v>
      </c>
      <c r="P1603" s="1" t="s">
        <v>28</v>
      </c>
      <c r="Q1603" s="1" t="s">
        <v>16</v>
      </c>
      <c r="R1603" s="1" t="str">
        <f>IF(N1603="","",VLOOKUP(N1603,Prior_levels,2,TRUE))</f>
        <v>L</v>
      </c>
    </row>
    <row r="1604" spans="1:18" x14ac:dyDescent="0.2">
      <c r="A1604" s="1" t="s">
        <v>180</v>
      </c>
      <c r="B1604" s="1" t="s">
        <v>10</v>
      </c>
      <c r="C1604" s="2">
        <v>41155</v>
      </c>
      <c r="D1604" s="1">
        <v>10</v>
      </c>
      <c r="E1604" s="1" t="s">
        <v>52</v>
      </c>
      <c r="I1604" s="1" t="s">
        <v>12</v>
      </c>
      <c r="J1604" s="1" t="s">
        <v>181</v>
      </c>
      <c r="K1604" s="1" t="s">
        <v>182</v>
      </c>
      <c r="L1604" s="1" t="s">
        <v>12</v>
      </c>
      <c r="M1604" s="1" t="s">
        <v>12</v>
      </c>
      <c r="N1604" s="1">
        <v>21.12</v>
      </c>
      <c r="O1604" s="1" t="s">
        <v>15</v>
      </c>
      <c r="P1604" s="1">
        <v>3.9</v>
      </c>
      <c r="Q1604" s="1" t="s">
        <v>16</v>
      </c>
      <c r="R1604" s="1" t="str">
        <f>IF(N1604="","",VLOOKUP(N1604,Prior_levels,2,TRUE))</f>
        <v>L</v>
      </c>
    </row>
    <row r="1605" spans="1:18" x14ac:dyDescent="0.2">
      <c r="A1605" s="1" t="s">
        <v>180</v>
      </c>
      <c r="B1605" s="1" t="s">
        <v>10</v>
      </c>
      <c r="C1605" s="2">
        <v>41155</v>
      </c>
      <c r="D1605" s="1">
        <v>10</v>
      </c>
      <c r="E1605" s="1" t="s">
        <v>52</v>
      </c>
      <c r="I1605" s="1" t="s">
        <v>12</v>
      </c>
      <c r="J1605" s="1" t="s">
        <v>181</v>
      </c>
      <c r="K1605" s="1" t="s">
        <v>182</v>
      </c>
      <c r="L1605" s="1" t="s">
        <v>12</v>
      </c>
      <c r="M1605" s="1" t="s">
        <v>12</v>
      </c>
      <c r="N1605" s="1">
        <v>21.12</v>
      </c>
      <c r="O1605" s="1" t="s">
        <v>17</v>
      </c>
      <c r="P1605" s="1">
        <v>1.07</v>
      </c>
      <c r="Q1605" s="1" t="s">
        <v>16</v>
      </c>
      <c r="R1605" s="1" t="str">
        <f>IF(N1605="","",VLOOKUP(N1605,Prior_levels,2,TRUE))</f>
        <v>L</v>
      </c>
    </row>
    <row r="1606" spans="1:18" x14ac:dyDescent="0.2">
      <c r="A1606" s="1" t="s">
        <v>180</v>
      </c>
      <c r="B1606" s="1" t="s">
        <v>10</v>
      </c>
      <c r="C1606" s="2">
        <v>41155</v>
      </c>
      <c r="D1606" s="1">
        <v>10</v>
      </c>
      <c r="E1606" s="1" t="s">
        <v>52</v>
      </c>
      <c r="I1606" s="1" t="s">
        <v>12</v>
      </c>
      <c r="J1606" s="1" t="s">
        <v>181</v>
      </c>
      <c r="K1606" s="1" t="s">
        <v>182</v>
      </c>
      <c r="L1606" s="1" t="s">
        <v>12</v>
      </c>
      <c r="M1606" s="1" t="s">
        <v>12</v>
      </c>
      <c r="N1606" s="1">
        <v>21.12</v>
      </c>
      <c r="O1606" s="1" t="s">
        <v>18</v>
      </c>
      <c r="P1606" s="1">
        <v>10</v>
      </c>
      <c r="Q1606" s="1" t="s">
        <v>16</v>
      </c>
      <c r="R1606" s="1" t="str">
        <f>IF(N1606="","",VLOOKUP(N1606,Prior_levels,2,TRUE))</f>
        <v>L</v>
      </c>
    </row>
    <row r="1607" spans="1:18" x14ac:dyDescent="0.2">
      <c r="A1607" s="1" t="s">
        <v>180</v>
      </c>
      <c r="B1607" s="1" t="s">
        <v>10</v>
      </c>
      <c r="C1607" s="2">
        <v>41155</v>
      </c>
      <c r="D1607" s="1">
        <v>10</v>
      </c>
      <c r="E1607" s="1" t="s">
        <v>52</v>
      </c>
      <c r="I1607" s="1" t="s">
        <v>12</v>
      </c>
      <c r="J1607" s="1" t="s">
        <v>181</v>
      </c>
      <c r="K1607" s="1" t="s">
        <v>182</v>
      </c>
      <c r="L1607" s="1" t="s">
        <v>12</v>
      </c>
      <c r="M1607" s="1" t="s">
        <v>12</v>
      </c>
      <c r="N1607" s="1">
        <v>21.12</v>
      </c>
      <c r="O1607" s="1" t="s">
        <v>19</v>
      </c>
      <c r="P1607" s="1">
        <v>6</v>
      </c>
      <c r="Q1607" s="1" t="s">
        <v>16</v>
      </c>
      <c r="R1607" s="1" t="str">
        <f>IF(N1607="","",VLOOKUP(N1607,Prior_levels,2,TRUE))</f>
        <v>L</v>
      </c>
    </row>
    <row r="1608" spans="1:18" x14ac:dyDescent="0.2">
      <c r="A1608" s="1" t="s">
        <v>180</v>
      </c>
      <c r="B1608" s="1" t="s">
        <v>10</v>
      </c>
      <c r="C1608" s="2">
        <v>41155</v>
      </c>
      <c r="D1608" s="1">
        <v>10</v>
      </c>
      <c r="E1608" s="1" t="s">
        <v>52</v>
      </c>
      <c r="I1608" s="1" t="s">
        <v>12</v>
      </c>
      <c r="J1608" s="1" t="s">
        <v>181</v>
      </c>
      <c r="K1608" s="1" t="s">
        <v>182</v>
      </c>
      <c r="L1608" s="1" t="s">
        <v>12</v>
      </c>
      <c r="M1608" s="1" t="s">
        <v>12</v>
      </c>
      <c r="N1608" s="1">
        <v>21.12</v>
      </c>
      <c r="O1608" s="1" t="s">
        <v>20</v>
      </c>
      <c r="P1608" s="1">
        <v>10</v>
      </c>
      <c r="Q1608" s="1" t="s">
        <v>16</v>
      </c>
      <c r="R1608" s="1" t="str">
        <f>IF(N1608="","",VLOOKUP(N1608,Prior_levels,2,TRUE))</f>
        <v>L</v>
      </c>
    </row>
    <row r="1609" spans="1:18" x14ac:dyDescent="0.2">
      <c r="A1609" s="1" t="s">
        <v>180</v>
      </c>
      <c r="B1609" s="1" t="s">
        <v>10</v>
      </c>
      <c r="C1609" s="2">
        <v>41155</v>
      </c>
      <c r="D1609" s="1">
        <v>10</v>
      </c>
      <c r="E1609" s="1" t="s">
        <v>52</v>
      </c>
      <c r="I1609" s="1" t="s">
        <v>12</v>
      </c>
      <c r="J1609" s="1" t="s">
        <v>181</v>
      </c>
      <c r="K1609" s="1" t="s">
        <v>182</v>
      </c>
      <c r="L1609" s="1" t="s">
        <v>12</v>
      </c>
      <c r="M1609" s="1" t="s">
        <v>12</v>
      </c>
      <c r="N1609" s="1">
        <v>21.12</v>
      </c>
      <c r="O1609" s="1" t="s">
        <v>21</v>
      </c>
      <c r="P1609" s="1">
        <v>13</v>
      </c>
      <c r="Q1609" s="1" t="s">
        <v>16</v>
      </c>
      <c r="R1609" s="1" t="str">
        <f>IF(N1609="","",VLOOKUP(N1609,Prior_levels,2,TRUE))</f>
        <v>L</v>
      </c>
    </row>
    <row r="1610" spans="1:18" x14ac:dyDescent="0.2">
      <c r="A1610" s="1" t="s">
        <v>180</v>
      </c>
      <c r="B1610" s="1" t="s">
        <v>10</v>
      </c>
      <c r="C1610" s="2">
        <v>41155</v>
      </c>
      <c r="D1610" s="1">
        <v>10</v>
      </c>
      <c r="E1610" s="1" t="s">
        <v>52</v>
      </c>
      <c r="I1610" s="1" t="s">
        <v>12</v>
      </c>
      <c r="J1610" s="1" t="s">
        <v>181</v>
      </c>
      <c r="K1610" s="1" t="s">
        <v>182</v>
      </c>
      <c r="L1610" s="1" t="s">
        <v>12</v>
      </c>
      <c r="M1610" s="1" t="s">
        <v>12</v>
      </c>
      <c r="N1610" s="1">
        <v>21.12</v>
      </c>
      <c r="O1610" s="1" t="s">
        <v>22</v>
      </c>
      <c r="P1610" s="1">
        <v>1.34</v>
      </c>
      <c r="Q1610" s="1" t="s">
        <v>16</v>
      </c>
      <c r="R1610" s="1" t="str">
        <f>IF(N1610="","",VLOOKUP(N1610,Prior_levels,2,TRUE))</f>
        <v>L</v>
      </c>
    </row>
    <row r="1611" spans="1:18" x14ac:dyDescent="0.2">
      <c r="A1611" s="1" t="s">
        <v>180</v>
      </c>
      <c r="B1611" s="1" t="s">
        <v>10</v>
      </c>
      <c r="C1611" s="2">
        <v>41155</v>
      </c>
      <c r="D1611" s="1">
        <v>10</v>
      </c>
      <c r="E1611" s="1" t="s">
        <v>52</v>
      </c>
      <c r="I1611" s="1" t="s">
        <v>12</v>
      </c>
      <c r="J1611" s="1" t="s">
        <v>181</v>
      </c>
      <c r="K1611" s="1" t="s">
        <v>182</v>
      </c>
      <c r="L1611" s="1" t="s">
        <v>12</v>
      </c>
      <c r="M1611" s="1" t="s">
        <v>12</v>
      </c>
      <c r="N1611" s="1">
        <v>21.12</v>
      </c>
      <c r="O1611" s="1" t="s">
        <v>23</v>
      </c>
      <c r="P1611" s="1">
        <v>0.39</v>
      </c>
      <c r="Q1611" s="1" t="s">
        <v>16</v>
      </c>
      <c r="R1611" s="1" t="str">
        <f>IF(N1611="","",VLOOKUP(N1611,Prior_levels,2,TRUE))</f>
        <v>L</v>
      </c>
    </row>
    <row r="1612" spans="1:18" x14ac:dyDescent="0.2">
      <c r="A1612" s="1" t="s">
        <v>180</v>
      </c>
      <c r="B1612" s="1" t="s">
        <v>10</v>
      </c>
      <c r="C1612" s="2">
        <v>41155</v>
      </c>
      <c r="D1612" s="1">
        <v>10</v>
      </c>
      <c r="E1612" s="1" t="s">
        <v>52</v>
      </c>
      <c r="I1612" s="1" t="s">
        <v>12</v>
      </c>
      <c r="J1612" s="1" t="s">
        <v>181</v>
      </c>
      <c r="K1612" s="1" t="s">
        <v>182</v>
      </c>
      <c r="L1612" s="1" t="s">
        <v>12</v>
      </c>
      <c r="M1612" s="1" t="s">
        <v>12</v>
      </c>
      <c r="N1612" s="1">
        <v>21.12</v>
      </c>
      <c r="O1612" s="1" t="s">
        <v>24</v>
      </c>
      <c r="P1612" s="1">
        <v>5.49</v>
      </c>
      <c r="Q1612" s="1" t="s">
        <v>16</v>
      </c>
      <c r="R1612" s="1" t="str">
        <f>IF(N1612="","",VLOOKUP(N1612,Prior_levels,2,TRUE))</f>
        <v>L</v>
      </c>
    </row>
    <row r="1613" spans="1:18" x14ac:dyDescent="0.2">
      <c r="A1613" s="1" t="s">
        <v>180</v>
      </c>
      <c r="B1613" s="1" t="s">
        <v>10</v>
      </c>
      <c r="C1613" s="2">
        <v>41155</v>
      </c>
      <c r="D1613" s="1">
        <v>10</v>
      </c>
      <c r="E1613" s="1" t="s">
        <v>52</v>
      </c>
      <c r="I1613" s="1" t="s">
        <v>12</v>
      </c>
      <c r="J1613" s="1" t="s">
        <v>181</v>
      </c>
      <c r="K1613" s="1" t="s">
        <v>182</v>
      </c>
      <c r="L1613" s="1" t="s">
        <v>12</v>
      </c>
      <c r="M1613" s="1" t="s">
        <v>12</v>
      </c>
      <c r="N1613" s="1">
        <v>21.12</v>
      </c>
      <c r="O1613" s="1" t="s">
        <v>25</v>
      </c>
      <c r="P1613" s="1">
        <v>1.8</v>
      </c>
      <c r="Q1613" s="1" t="s">
        <v>16</v>
      </c>
      <c r="R1613" s="1" t="str">
        <f>IF(N1613="","",VLOOKUP(N1613,Prior_levels,2,TRUE))</f>
        <v>L</v>
      </c>
    </row>
    <row r="1614" spans="1:18" x14ac:dyDescent="0.2">
      <c r="A1614" s="1" t="s">
        <v>180</v>
      </c>
      <c r="B1614" s="1" t="s">
        <v>10</v>
      </c>
      <c r="C1614" s="2">
        <v>41155</v>
      </c>
      <c r="D1614" s="1">
        <v>10</v>
      </c>
      <c r="E1614" s="1" t="s">
        <v>52</v>
      </c>
      <c r="I1614" s="1" t="s">
        <v>12</v>
      </c>
      <c r="J1614" s="1" t="s">
        <v>181</v>
      </c>
      <c r="K1614" s="1" t="s">
        <v>182</v>
      </c>
      <c r="L1614" s="1" t="s">
        <v>12</v>
      </c>
      <c r="M1614" s="1" t="s">
        <v>12</v>
      </c>
      <c r="N1614" s="1">
        <v>21.12</v>
      </c>
      <c r="O1614" s="1" t="s">
        <v>26</v>
      </c>
      <c r="P1614" s="1">
        <v>6</v>
      </c>
      <c r="Q1614" s="1" t="s">
        <v>16</v>
      </c>
      <c r="R1614" s="1" t="str">
        <f>IF(N1614="","",VLOOKUP(N1614,Prior_levels,2,TRUE))</f>
        <v>L</v>
      </c>
    </row>
    <row r="1615" spans="1:18" x14ac:dyDescent="0.2">
      <c r="A1615" s="1" t="s">
        <v>180</v>
      </c>
      <c r="B1615" s="1" t="s">
        <v>10</v>
      </c>
      <c r="C1615" s="2">
        <v>41155</v>
      </c>
      <c r="D1615" s="1">
        <v>10</v>
      </c>
      <c r="E1615" s="1" t="s">
        <v>52</v>
      </c>
      <c r="I1615" s="1" t="s">
        <v>12</v>
      </c>
      <c r="J1615" s="1" t="s">
        <v>181</v>
      </c>
      <c r="K1615" s="1" t="s">
        <v>182</v>
      </c>
      <c r="L1615" s="1" t="s">
        <v>12</v>
      </c>
      <c r="M1615" s="1" t="s">
        <v>12</v>
      </c>
      <c r="N1615" s="1">
        <v>21.12</v>
      </c>
      <c r="O1615" s="1" t="s">
        <v>32</v>
      </c>
      <c r="P1615" s="1" t="s">
        <v>28</v>
      </c>
      <c r="Q1615" s="1" t="s">
        <v>16</v>
      </c>
      <c r="R1615" s="1" t="str">
        <f>IF(N1615="","",VLOOKUP(N1615,Prior_levels,2,TRUE))</f>
        <v>L</v>
      </c>
    </row>
    <row r="1616" spans="1:18" x14ac:dyDescent="0.2">
      <c r="A1616" s="1" t="s">
        <v>180</v>
      </c>
      <c r="B1616" s="1" t="s">
        <v>10</v>
      </c>
      <c r="C1616" s="2">
        <v>41155</v>
      </c>
      <c r="D1616" s="1">
        <v>10</v>
      </c>
      <c r="E1616" s="1" t="s">
        <v>52</v>
      </c>
      <c r="I1616" s="1" t="s">
        <v>12</v>
      </c>
      <c r="J1616" s="1" t="s">
        <v>181</v>
      </c>
      <c r="K1616" s="1" t="s">
        <v>182</v>
      </c>
      <c r="L1616" s="1" t="s">
        <v>12</v>
      </c>
      <c r="M1616" s="1" t="s">
        <v>12</v>
      </c>
      <c r="N1616" s="1">
        <v>21.12</v>
      </c>
      <c r="O1616" s="1" t="s">
        <v>27</v>
      </c>
      <c r="P1616" s="1" t="s">
        <v>28</v>
      </c>
      <c r="Q1616" s="1" t="s">
        <v>16</v>
      </c>
      <c r="R1616" s="1" t="str">
        <f>IF(N1616="","",VLOOKUP(N1616,Prior_levels,2,TRUE))</f>
        <v>L</v>
      </c>
    </row>
    <row r="1617" spans="1:18" x14ac:dyDescent="0.2">
      <c r="A1617" s="1" t="s">
        <v>180</v>
      </c>
      <c r="B1617" s="1" t="s">
        <v>10</v>
      </c>
      <c r="C1617" s="2">
        <v>41155</v>
      </c>
      <c r="D1617" s="1">
        <v>10</v>
      </c>
      <c r="E1617" s="1" t="s">
        <v>52</v>
      </c>
      <c r="I1617" s="1" t="s">
        <v>12</v>
      </c>
      <c r="J1617" s="1" t="s">
        <v>181</v>
      </c>
      <c r="K1617" s="1" t="s">
        <v>182</v>
      </c>
      <c r="L1617" s="1" t="s">
        <v>12</v>
      </c>
      <c r="M1617" s="1" t="s">
        <v>12</v>
      </c>
      <c r="N1617" s="1">
        <v>21.12</v>
      </c>
      <c r="O1617" s="1" t="s">
        <v>29</v>
      </c>
      <c r="P1617" s="1" t="s">
        <v>37</v>
      </c>
      <c r="Q1617" s="1" t="s">
        <v>16</v>
      </c>
      <c r="R1617" s="1" t="str">
        <f>IF(N1617="","",VLOOKUP(N1617,Prior_levels,2,TRUE))</f>
        <v>L</v>
      </c>
    </row>
    <row r="1618" spans="1:18" x14ac:dyDescent="0.2">
      <c r="A1618" s="1" t="s">
        <v>180</v>
      </c>
      <c r="B1618" s="1" t="s">
        <v>10</v>
      </c>
      <c r="C1618" s="2">
        <v>41155</v>
      </c>
      <c r="D1618" s="1">
        <v>10</v>
      </c>
      <c r="E1618" s="1" t="s">
        <v>52</v>
      </c>
      <c r="I1618" s="1" t="s">
        <v>12</v>
      </c>
      <c r="J1618" s="1" t="s">
        <v>181</v>
      </c>
      <c r="K1618" s="1" t="s">
        <v>182</v>
      </c>
      <c r="L1618" s="1" t="s">
        <v>12</v>
      </c>
      <c r="M1618" s="1" t="s">
        <v>12</v>
      </c>
      <c r="N1618" s="1">
        <v>21.12</v>
      </c>
      <c r="O1618" s="1" t="s">
        <v>30</v>
      </c>
      <c r="P1618" s="1" t="s">
        <v>28</v>
      </c>
      <c r="Q1618" s="1" t="s">
        <v>16</v>
      </c>
      <c r="R1618" s="1" t="str">
        <f>IF(N1618="","",VLOOKUP(N1618,Prior_levels,2,TRUE))</f>
        <v>L</v>
      </c>
    </row>
    <row r="1619" spans="1:18" x14ac:dyDescent="0.2">
      <c r="A1619" s="1" t="s">
        <v>180</v>
      </c>
      <c r="B1619" s="1" t="s">
        <v>10</v>
      </c>
      <c r="C1619" s="2">
        <v>41155</v>
      </c>
      <c r="D1619" s="1">
        <v>10</v>
      </c>
      <c r="E1619" s="1" t="s">
        <v>52</v>
      </c>
      <c r="I1619" s="1" t="s">
        <v>12</v>
      </c>
      <c r="J1619" s="1" t="s">
        <v>181</v>
      </c>
      <c r="K1619" s="1" t="s">
        <v>182</v>
      </c>
      <c r="L1619" s="1" t="s">
        <v>12</v>
      </c>
      <c r="M1619" s="1" t="s">
        <v>12</v>
      </c>
      <c r="N1619" s="1">
        <v>21.12</v>
      </c>
      <c r="O1619" s="1" t="s">
        <v>31</v>
      </c>
      <c r="P1619" s="1" t="s">
        <v>28</v>
      </c>
      <c r="Q1619" s="1" t="s">
        <v>16</v>
      </c>
      <c r="R1619" s="1" t="str">
        <f>IF(N1619="","",VLOOKUP(N1619,Prior_levels,2,TRUE))</f>
        <v>L</v>
      </c>
    </row>
    <row r="1620" spans="1:18" x14ac:dyDescent="0.2">
      <c r="A1620" s="1" t="s">
        <v>183</v>
      </c>
      <c r="B1620" s="1" t="s">
        <v>10</v>
      </c>
      <c r="C1620" s="2">
        <v>41155</v>
      </c>
      <c r="D1620" s="1">
        <v>10</v>
      </c>
      <c r="E1620" s="1" t="s">
        <v>11</v>
      </c>
      <c r="I1620" s="1" t="s">
        <v>12</v>
      </c>
      <c r="J1620" s="1" t="s">
        <v>177</v>
      </c>
      <c r="K1620" s="1" t="s">
        <v>14</v>
      </c>
      <c r="L1620" s="1" t="s">
        <v>12</v>
      </c>
      <c r="M1620" s="1" t="s">
        <v>12</v>
      </c>
      <c r="N1620" s="1">
        <v>21.12</v>
      </c>
      <c r="O1620" s="1" t="s">
        <v>15</v>
      </c>
      <c r="P1620" s="1">
        <v>3.6</v>
      </c>
      <c r="Q1620" s="1" t="s">
        <v>16</v>
      </c>
      <c r="R1620" s="1" t="str">
        <f>IF(N1620="","",VLOOKUP(N1620,Prior_levels,2,TRUE))</f>
        <v>L</v>
      </c>
    </row>
    <row r="1621" spans="1:18" x14ac:dyDescent="0.2">
      <c r="A1621" s="1" t="s">
        <v>183</v>
      </c>
      <c r="B1621" s="1" t="s">
        <v>10</v>
      </c>
      <c r="C1621" s="2">
        <v>41155</v>
      </c>
      <c r="D1621" s="1">
        <v>10</v>
      </c>
      <c r="E1621" s="1" t="s">
        <v>11</v>
      </c>
      <c r="I1621" s="1" t="s">
        <v>12</v>
      </c>
      <c r="J1621" s="1" t="s">
        <v>177</v>
      </c>
      <c r="K1621" s="1" t="s">
        <v>14</v>
      </c>
      <c r="L1621" s="1" t="s">
        <v>12</v>
      </c>
      <c r="M1621" s="1" t="s">
        <v>12</v>
      </c>
      <c r="N1621" s="1">
        <v>21.12</v>
      </c>
      <c r="O1621" s="1" t="s">
        <v>17</v>
      </c>
      <c r="P1621" s="1">
        <v>0.77</v>
      </c>
      <c r="Q1621" s="1" t="s">
        <v>16</v>
      </c>
      <c r="R1621" s="1" t="str">
        <f>IF(N1621="","",VLOOKUP(N1621,Prior_levels,2,TRUE))</f>
        <v>L</v>
      </c>
    </row>
    <row r="1622" spans="1:18" x14ac:dyDescent="0.2">
      <c r="A1622" s="1" t="s">
        <v>183</v>
      </c>
      <c r="B1622" s="1" t="s">
        <v>10</v>
      </c>
      <c r="C1622" s="2">
        <v>41155</v>
      </c>
      <c r="D1622" s="1">
        <v>10</v>
      </c>
      <c r="E1622" s="1" t="s">
        <v>11</v>
      </c>
      <c r="I1622" s="1" t="s">
        <v>12</v>
      </c>
      <c r="J1622" s="1" t="s">
        <v>177</v>
      </c>
      <c r="K1622" s="1" t="s">
        <v>14</v>
      </c>
      <c r="L1622" s="1" t="s">
        <v>12</v>
      </c>
      <c r="M1622" s="1" t="s">
        <v>12</v>
      </c>
      <c r="N1622" s="1">
        <v>21.12</v>
      </c>
      <c r="O1622" s="1" t="s">
        <v>18</v>
      </c>
      <c r="P1622" s="1">
        <v>8</v>
      </c>
      <c r="Q1622" s="1" t="s">
        <v>16</v>
      </c>
      <c r="R1622" s="1" t="str">
        <f>IF(N1622="","",VLOOKUP(N1622,Prior_levels,2,TRUE))</f>
        <v>L</v>
      </c>
    </row>
    <row r="1623" spans="1:18" x14ac:dyDescent="0.2">
      <c r="A1623" s="1" t="s">
        <v>183</v>
      </c>
      <c r="B1623" s="1" t="s">
        <v>10</v>
      </c>
      <c r="C1623" s="2">
        <v>41155</v>
      </c>
      <c r="D1623" s="1">
        <v>10</v>
      </c>
      <c r="E1623" s="1" t="s">
        <v>11</v>
      </c>
      <c r="I1623" s="1" t="s">
        <v>12</v>
      </c>
      <c r="J1623" s="1" t="s">
        <v>177</v>
      </c>
      <c r="K1623" s="1" t="s">
        <v>14</v>
      </c>
      <c r="L1623" s="1" t="s">
        <v>12</v>
      </c>
      <c r="M1623" s="1" t="s">
        <v>12</v>
      </c>
      <c r="N1623" s="1">
        <v>21.12</v>
      </c>
      <c r="O1623" s="1" t="s">
        <v>19</v>
      </c>
      <c r="P1623" s="1">
        <v>8</v>
      </c>
      <c r="Q1623" s="1" t="s">
        <v>16</v>
      </c>
      <c r="R1623" s="1" t="str">
        <f>IF(N1623="","",VLOOKUP(N1623,Prior_levels,2,TRUE))</f>
        <v>L</v>
      </c>
    </row>
    <row r="1624" spans="1:18" x14ac:dyDescent="0.2">
      <c r="A1624" s="1" t="s">
        <v>183</v>
      </c>
      <c r="B1624" s="1" t="s">
        <v>10</v>
      </c>
      <c r="C1624" s="2">
        <v>41155</v>
      </c>
      <c r="D1624" s="1">
        <v>10</v>
      </c>
      <c r="E1624" s="1" t="s">
        <v>11</v>
      </c>
      <c r="I1624" s="1" t="s">
        <v>12</v>
      </c>
      <c r="J1624" s="1" t="s">
        <v>177</v>
      </c>
      <c r="K1624" s="1" t="s">
        <v>14</v>
      </c>
      <c r="L1624" s="1" t="s">
        <v>12</v>
      </c>
      <c r="M1624" s="1" t="s">
        <v>12</v>
      </c>
      <c r="N1624" s="1">
        <v>21.12</v>
      </c>
      <c r="O1624" s="1" t="s">
        <v>20</v>
      </c>
      <c r="P1624" s="1">
        <v>9</v>
      </c>
      <c r="Q1624" s="1" t="s">
        <v>16</v>
      </c>
      <c r="R1624" s="1" t="str">
        <f>IF(N1624="","",VLOOKUP(N1624,Prior_levels,2,TRUE))</f>
        <v>L</v>
      </c>
    </row>
    <row r="1625" spans="1:18" x14ac:dyDescent="0.2">
      <c r="A1625" s="1" t="s">
        <v>183</v>
      </c>
      <c r="B1625" s="1" t="s">
        <v>10</v>
      </c>
      <c r="C1625" s="2">
        <v>41155</v>
      </c>
      <c r="D1625" s="1">
        <v>10</v>
      </c>
      <c r="E1625" s="1" t="s">
        <v>11</v>
      </c>
      <c r="I1625" s="1" t="s">
        <v>12</v>
      </c>
      <c r="J1625" s="1" t="s">
        <v>177</v>
      </c>
      <c r="K1625" s="1" t="s">
        <v>14</v>
      </c>
      <c r="L1625" s="1" t="s">
        <v>12</v>
      </c>
      <c r="M1625" s="1" t="s">
        <v>12</v>
      </c>
      <c r="N1625" s="1">
        <v>21.12</v>
      </c>
      <c r="O1625" s="1" t="s">
        <v>21</v>
      </c>
      <c r="P1625" s="1">
        <v>11</v>
      </c>
      <c r="Q1625" s="1" t="s">
        <v>16</v>
      </c>
      <c r="R1625" s="1" t="str">
        <f>IF(N1625="","",VLOOKUP(N1625,Prior_levels,2,TRUE))</f>
        <v>L</v>
      </c>
    </row>
    <row r="1626" spans="1:18" x14ac:dyDescent="0.2">
      <c r="A1626" s="1" t="s">
        <v>183</v>
      </c>
      <c r="B1626" s="1" t="s">
        <v>10</v>
      </c>
      <c r="C1626" s="2">
        <v>41155</v>
      </c>
      <c r="D1626" s="1">
        <v>10</v>
      </c>
      <c r="E1626" s="1" t="s">
        <v>11</v>
      </c>
      <c r="I1626" s="1" t="s">
        <v>12</v>
      </c>
      <c r="J1626" s="1" t="s">
        <v>177</v>
      </c>
      <c r="K1626" s="1" t="s">
        <v>14</v>
      </c>
      <c r="L1626" s="1" t="s">
        <v>12</v>
      </c>
      <c r="M1626" s="1" t="s">
        <v>12</v>
      </c>
      <c r="N1626" s="1">
        <v>21.12</v>
      </c>
      <c r="O1626" s="1" t="s">
        <v>22</v>
      </c>
      <c r="P1626" s="1">
        <v>0.34</v>
      </c>
      <c r="Q1626" s="1" t="s">
        <v>16</v>
      </c>
      <c r="R1626" s="1" t="str">
        <f>IF(N1626="","",VLOOKUP(N1626,Prior_levels,2,TRUE))</f>
        <v>L</v>
      </c>
    </row>
    <row r="1627" spans="1:18" x14ac:dyDescent="0.2">
      <c r="A1627" s="1" t="s">
        <v>183</v>
      </c>
      <c r="B1627" s="1" t="s">
        <v>10</v>
      </c>
      <c r="C1627" s="2">
        <v>41155</v>
      </c>
      <c r="D1627" s="1">
        <v>10</v>
      </c>
      <c r="E1627" s="1" t="s">
        <v>11</v>
      </c>
      <c r="I1627" s="1" t="s">
        <v>12</v>
      </c>
      <c r="J1627" s="1" t="s">
        <v>177</v>
      </c>
      <c r="K1627" s="1" t="s">
        <v>14</v>
      </c>
      <c r="L1627" s="1" t="s">
        <v>12</v>
      </c>
      <c r="M1627" s="1" t="s">
        <v>12</v>
      </c>
      <c r="N1627" s="1">
        <v>21.12</v>
      </c>
      <c r="O1627" s="1" t="s">
        <v>23</v>
      </c>
      <c r="P1627" s="1">
        <v>1.39</v>
      </c>
      <c r="Q1627" s="1" t="s">
        <v>16</v>
      </c>
      <c r="R1627" s="1" t="str">
        <f>IF(N1627="","",VLOOKUP(N1627,Prior_levels,2,TRUE))</f>
        <v>L</v>
      </c>
    </row>
    <row r="1628" spans="1:18" x14ac:dyDescent="0.2">
      <c r="A1628" s="1" t="s">
        <v>183</v>
      </c>
      <c r="B1628" s="1" t="s">
        <v>10</v>
      </c>
      <c r="C1628" s="2">
        <v>41155</v>
      </c>
      <c r="D1628" s="1">
        <v>10</v>
      </c>
      <c r="E1628" s="1" t="s">
        <v>11</v>
      </c>
      <c r="I1628" s="1" t="s">
        <v>12</v>
      </c>
      <c r="J1628" s="1" t="s">
        <v>177</v>
      </c>
      <c r="K1628" s="1" t="s">
        <v>14</v>
      </c>
      <c r="L1628" s="1" t="s">
        <v>12</v>
      </c>
      <c r="M1628" s="1" t="s">
        <v>12</v>
      </c>
      <c r="N1628" s="1">
        <v>21.12</v>
      </c>
      <c r="O1628" s="1" t="s">
        <v>25</v>
      </c>
      <c r="P1628" s="1">
        <v>-0.2</v>
      </c>
      <c r="Q1628" s="1" t="s">
        <v>16</v>
      </c>
      <c r="R1628" s="1" t="str">
        <f>IF(N1628="","",VLOOKUP(N1628,Prior_levels,2,TRUE))</f>
        <v>L</v>
      </c>
    </row>
    <row r="1629" spans="1:18" x14ac:dyDescent="0.2">
      <c r="A1629" s="1" t="s">
        <v>183</v>
      </c>
      <c r="B1629" s="1" t="s">
        <v>10</v>
      </c>
      <c r="C1629" s="2">
        <v>41155</v>
      </c>
      <c r="D1629" s="1">
        <v>10</v>
      </c>
      <c r="E1629" s="1" t="s">
        <v>11</v>
      </c>
      <c r="I1629" s="1" t="s">
        <v>12</v>
      </c>
      <c r="J1629" s="1" t="s">
        <v>177</v>
      </c>
      <c r="K1629" s="1" t="s">
        <v>14</v>
      </c>
      <c r="L1629" s="1" t="s">
        <v>12</v>
      </c>
      <c r="M1629" s="1" t="s">
        <v>12</v>
      </c>
      <c r="N1629" s="1">
        <v>21.12</v>
      </c>
      <c r="O1629" s="1" t="s">
        <v>26</v>
      </c>
      <c r="P1629" s="1">
        <v>1</v>
      </c>
      <c r="Q1629" s="1" t="s">
        <v>16</v>
      </c>
      <c r="R1629" s="1" t="str">
        <f>IF(N1629="","",VLOOKUP(N1629,Prior_levels,2,TRUE))</f>
        <v>L</v>
      </c>
    </row>
    <row r="1630" spans="1:18" x14ac:dyDescent="0.2">
      <c r="A1630" s="1" t="s">
        <v>183</v>
      </c>
      <c r="B1630" s="1" t="s">
        <v>10</v>
      </c>
      <c r="C1630" s="2">
        <v>41155</v>
      </c>
      <c r="D1630" s="1">
        <v>10</v>
      </c>
      <c r="E1630" s="1" t="s">
        <v>11</v>
      </c>
      <c r="I1630" s="1" t="s">
        <v>12</v>
      </c>
      <c r="J1630" s="1" t="s">
        <v>177</v>
      </c>
      <c r="K1630" s="1" t="s">
        <v>14</v>
      </c>
      <c r="L1630" s="1" t="s">
        <v>12</v>
      </c>
      <c r="M1630" s="1" t="s">
        <v>12</v>
      </c>
      <c r="N1630" s="1">
        <v>21.12</v>
      </c>
      <c r="O1630" s="1" t="s">
        <v>24</v>
      </c>
      <c r="P1630" s="1">
        <v>4.49</v>
      </c>
      <c r="Q1630" s="1" t="s">
        <v>16</v>
      </c>
      <c r="R1630" s="1" t="str">
        <f>IF(N1630="","",VLOOKUP(N1630,Prior_levels,2,TRUE))</f>
        <v>L</v>
      </c>
    </row>
    <row r="1631" spans="1:18" x14ac:dyDescent="0.2">
      <c r="A1631" s="1" t="s">
        <v>183</v>
      </c>
      <c r="B1631" s="1" t="s">
        <v>10</v>
      </c>
      <c r="C1631" s="2">
        <v>41155</v>
      </c>
      <c r="D1631" s="1">
        <v>10</v>
      </c>
      <c r="E1631" s="1" t="s">
        <v>11</v>
      </c>
      <c r="I1631" s="1" t="s">
        <v>12</v>
      </c>
      <c r="J1631" s="1" t="s">
        <v>177</v>
      </c>
      <c r="K1631" s="1" t="s">
        <v>14</v>
      </c>
      <c r="L1631" s="1" t="s">
        <v>12</v>
      </c>
      <c r="M1631" s="1" t="s">
        <v>12</v>
      </c>
      <c r="N1631" s="1">
        <v>21.12</v>
      </c>
      <c r="O1631" s="1" t="s">
        <v>32</v>
      </c>
      <c r="P1631" s="1" t="s">
        <v>28</v>
      </c>
      <c r="Q1631" s="1" t="s">
        <v>16</v>
      </c>
      <c r="R1631" s="1" t="str">
        <f>IF(N1631="","",VLOOKUP(N1631,Prior_levels,2,TRUE))</f>
        <v>L</v>
      </c>
    </row>
    <row r="1632" spans="1:18" x14ac:dyDescent="0.2">
      <c r="A1632" s="1" t="s">
        <v>183</v>
      </c>
      <c r="B1632" s="1" t="s">
        <v>10</v>
      </c>
      <c r="C1632" s="2">
        <v>41155</v>
      </c>
      <c r="D1632" s="1">
        <v>10</v>
      </c>
      <c r="E1632" s="1" t="s">
        <v>11</v>
      </c>
      <c r="I1632" s="1" t="s">
        <v>12</v>
      </c>
      <c r="J1632" s="1" t="s">
        <v>177</v>
      </c>
      <c r="K1632" s="1" t="s">
        <v>14</v>
      </c>
      <c r="L1632" s="1" t="s">
        <v>12</v>
      </c>
      <c r="M1632" s="1" t="s">
        <v>12</v>
      </c>
      <c r="N1632" s="1">
        <v>21.12</v>
      </c>
      <c r="O1632" s="1" t="s">
        <v>27</v>
      </c>
      <c r="P1632" s="1" t="s">
        <v>28</v>
      </c>
      <c r="Q1632" s="1" t="s">
        <v>16</v>
      </c>
      <c r="R1632" s="1" t="str">
        <f>IF(N1632="","",VLOOKUP(N1632,Prior_levels,2,TRUE))</f>
        <v>L</v>
      </c>
    </row>
    <row r="1633" spans="1:18" x14ac:dyDescent="0.2">
      <c r="A1633" s="1" t="s">
        <v>183</v>
      </c>
      <c r="B1633" s="1" t="s">
        <v>10</v>
      </c>
      <c r="C1633" s="2">
        <v>41155</v>
      </c>
      <c r="D1633" s="1">
        <v>10</v>
      </c>
      <c r="E1633" s="1" t="s">
        <v>11</v>
      </c>
      <c r="I1633" s="1" t="s">
        <v>12</v>
      </c>
      <c r="J1633" s="1" t="s">
        <v>177</v>
      </c>
      <c r="K1633" s="1" t="s">
        <v>14</v>
      </c>
      <c r="L1633" s="1" t="s">
        <v>12</v>
      </c>
      <c r="M1633" s="1" t="s">
        <v>12</v>
      </c>
      <c r="N1633" s="1">
        <v>21.12</v>
      </c>
      <c r="O1633" s="1" t="s">
        <v>29</v>
      </c>
      <c r="P1633" s="1" t="s">
        <v>28</v>
      </c>
      <c r="Q1633" s="1" t="s">
        <v>16</v>
      </c>
      <c r="R1633" s="1" t="str">
        <f>IF(N1633="","",VLOOKUP(N1633,Prior_levels,2,TRUE))</f>
        <v>L</v>
      </c>
    </row>
    <row r="1634" spans="1:18" x14ac:dyDescent="0.2">
      <c r="A1634" s="1" t="s">
        <v>183</v>
      </c>
      <c r="B1634" s="1" t="s">
        <v>10</v>
      </c>
      <c r="C1634" s="2">
        <v>41155</v>
      </c>
      <c r="D1634" s="1">
        <v>10</v>
      </c>
      <c r="E1634" s="1" t="s">
        <v>11</v>
      </c>
      <c r="I1634" s="1" t="s">
        <v>12</v>
      </c>
      <c r="J1634" s="1" t="s">
        <v>177</v>
      </c>
      <c r="K1634" s="1" t="s">
        <v>14</v>
      </c>
      <c r="L1634" s="1" t="s">
        <v>12</v>
      </c>
      <c r="M1634" s="1" t="s">
        <v>12</v>
      </c>
      <c r="N1634" s="1">
        <v>21.12</v>
      </c>
      <c r="O1634" s="1" t="s">
        <v>30</v>
      </c>
      <c r="P1634" s="1" t="s">
        <v>28</v>
      </c>
      <c r="Q1634" s="1" t="s">
        <v>16</v>
      </c>
      <c r="R1634" s="1" t="str">
        <f>IF(N1634="","",VLOOKUP(N1634,Prior_levels,2,TRUE))</f>
        <v>L</v>
      </c>
    </row>
    <row r="1635" spans="1:18" x14ac:dyDescent="0.2">
      <c r="A1635" s="1" t="s">
        <v>183</v>
      </c>
      <c r="B1635" s="1" t="s">
        <v>10</v>
      </c>
      <c r="C1635" s="2">
        <v>41155</v>
      </c>
      <c r="D1635" s="1">
        <v>10</v>
      </c>
      <c r="E1635" s="1" t="s">
        <v>11</v>
      </c>
      <c r="I1635" s="1" t="s">
        <v>12</v>
      </c>
      <c r="J1635" s="1" t="s">
        <v>177</v>
      </c>
      <c r="K1635" s="1" t="s">
        <v>14</v>
      </c>
      <c r="L1635" s="1" t="s">
        <v>12</v>
      </c>
      <c r="M1635" s="1" t="s">
        <v>12</v>
      </c>
      <c r="N1635" s="1">
        <v>21.12</v>
      </c>
      <c r="O1635" s="1" t="s">
        <v>31</v>
      </c>
      <c r="P1635" s="1" t="s">
        <v>28</v>
      </c>
      <c r="Q1635" s="1" t="s">
        <v>16</v>
      </c>
      <c r="R1635" s="1" t="str">
        <f>IF(N1635="","",VLOOKUP(N1635,Prior_levels,2,TRUE))</f>
        <v>L</v>
      </c>
    </row>
    <row r="1636" spans="1:18" x14ac:dyDescent="0.2">
      <c r="A1636" s="1" t="s">
        <v>184</v>
      </c>
      <c r="B1636" s="1" t="s">
        <v>10</v>
      </c>
      <c r="C1636" s="2">
        <v>41568</v>
      </c>
      <c r="D1636" s="1">
        <v>10</v>
      </c>
      <c r="E1636" s="1" t="s">
        <v>11</v>
      </c>
      <c r="I1636" s="1" t="s">
        <v>12</v>
      </c>
      <c r="J1636" s="1" t="s">
        <v>40</v>
      </c>
      <c r="K1636" s="1" t="s">
        <v>14</v>
      </c>
      <c r="L1636" s="1" t="s">
        <v>12</v>
      </c>
      <c r="M1636" s="1" t="s">
        <v>12</v>
      </c>
      <c r="O1636" s="1" t="s">
        <v>29</v>
      </c>
      <c r="P1636" s="1" t="s">
        <v>28</v>
      </c>
      <c r="Q1636" s="1" t="s">
        <v>16</v>
      </c>
      <c r="R1636" s="1" t="str">
        <f>IF(N1636="","",VLOOKUP(N1636,Prior_levels,2,TRUE))</f>
        <v/>
      </c>
    </row>
    <row r="1637" spans="1:18" x14ac:dyDescent="0.2">
      <c r="A1637" s="1" t="s">
        <v>184</v>
      </c>
      <c r="B1637" s="1" t="s">
        <v>10</v>
      </c>
      <c r="C1637" s="2">
        <v>41568</v>
      </c>
      <c r="D1637" s="1">
        <v>10</v>
      </c>
      <c r="E1637" s="1" t="s">
        <v>11</v>
      </c>
      <c r="I1637" s="1" t="s">
        <v>12</v>
      </c>
      <c r="J1637" s="1" t="s">
        <v>40</v>
      </c>
      <c r="K1637" s="1" t="s">
        <v>14</v>
      </c>
      <c r="L1637" s="1" t="s">
        <v>12</v>
      </c>
      <c r="M1637" s="1" t="s">
        <v>12</v>
      </c>
      <c r="O1637" s="1" t="s">
        <v>30</v>
      </c>
      <c r="P1637" s="1" t="s">
        <v>28</v>
      </c>
      <c r="Q1637" s="1" t="s">
        <v>16</v>
      </c>
      <c r="R1637" s="1" t="str">
        <f>IF(N1637="","",VLOOKUP(N1637,Prior_levels,2,TRUE))</f>
        <v/>
      </c>
    </row>
    <row r="1638" spans="1:18" x14ac:dyDescent="0.2">
      <c r="A1638" s="1" t="s">
        <v>184</v>
      </c>
      <c r="B1638" s="1" t="s">
        <v>10</v>
      </c>
      <c r="C1638" s="2">
        <v>41568</v>
      </c>
      <c r="D1638" s="1">
        <v>10</v>
      </c>
      <c r="E1638" s="1" t="s">
        <v>11</v>
      </c>
      <c r="I1638" s="1" t="s">
        <v>12</v>
      </c>
      <c r="J1638" s="1" t="s">
        <v>40</v>
      </c>
      <c r="K1638" s="1" t="s">
        <v>14</v>
      </c>
      <c r="L1638" s="1" t="s">
        <v>12</v>
      </c>
      <c r="M1638" s="1" t="s">
        <v>12</v>
      </c>
      <c r="O1638" s="1" t="s">
        <v>31</v>
      </c>
      <c r="P1638" s="1" t="s">
        <v>28</v>
      </c>
      <c r="Q1638" s="1" t="s">
        <v>16</v>
      </c>
      <c r="R1638" s="1" t="str">
        <f>IF(N1638="","",VLOOKUP(N1638,Prior_levels,2,TRUE))</f>
        <v/>
      </c>
    </row>
    <row r="1639" spans="1:18" x14ac:dyDescent="0.2">
      <c r="A1639" s="1" t="s">
        <v>184</v>
      </c>
      <c r="B1639" s="1" t="s">
        <v>10</v>
      </c>
      <c r="C1639" s="2">
        <v>41568</v>
      </c>
      <c r="D1639" s="1">
        <v>10</v>
      </c>
      <c r="E1639" s="1" t="s">
        <v>11</v>
      </c>
      <c r="I1639" s="1" t="s">
        <v>12</v>
      </c>
      <c r="J1639" s="1" t="s">
        <v>40</v>
      </c>
      <c r="K1639" s="1" t="s">
        <v>14</v>
      </c>
      <c r="L1639" s="1" t="s">
        <v>12</v>
      </c>
      <c r="M1639" s="1" t="s">
        <v>12</v>
      </c>
      <c r="O1639" s="1" t="s">
        <v>32</v>
      </c>
      <c r="P1639" s="1" t="s">
        <v>28</v>
      </c>
      <c r="Q1639" s="1" t="s">
        <v>16</v>
      </c>
      <c r="R1639" s="1" t="str">
        <f>IF(N1639="","",VLOOKUP(N1639,Prior_levels,2,TRUE))</f>
        <v/>
      </c>
    </row>
    <row r="1640" spans="1:18" x14ac:dyDescent="0.2">
      <c r="A1640" s="1" t="s">
        <v>185</v>
      </c>
      <c r="B1640" s="1" t="s">
        <v>10</v>
      </c>
      <c r="C1640" s="2">
        <v>41155</v>
      </c>
      <c r="D1640" s="1">
        <v>10</v>
      </c>
      <c r="E1640" s="1" t="s">
        <v>39</v>
      </c>
      <c r="I1640" s="1" t="s">
        <v>12</v>
      </c>
      <c r="J1640" s="1" t="s">
        <v>134</v>
      </c>
      <c r="K1640" s="1" t="s">
        <v>14</v>
      </c>
      <c r="L1640" s="1" t="s">
        <v>12</v>
      </c>
      <c r="M1640" s="1" t="s">
        <v>12</v>
      </c>
      <c r="N1640" s="1">
        <v>21.12</v>
      </c>
      <c r="O1640" s="1" t="s">
        <v>15</v>
      </c>
      <c r="P1640" s="1">
        <v>3.3</v>
      </c>
      <c r="Q1640" s="1" t="s">
        <v>16</v>
      </c>
      <c r="R1640" s="1" t="str">
        <f>IF(N1640="","",VLOOKUP(N1640,Prior_levels,2,TRUE))</f>
        <v>L</v>
      </c>
    </row>
    <row r="1641" spans="1:18" x14ac:dyDescent="0.2">
      <c r="A1641" s="1" t="s">
        <v>185</v>
      </c>
      <c r="B1641" s="1" t="s">
        <v>10</v>
      </c>
      <c r="C1641" s="2">
        <v>41155</v>
      </c>
      <c r="D1641" s="1">
        <v>10</v>
      </c>
      <c r="E1641" s="1" t="s">
        <v>39</v>
      </c>
      <c r="I1641" s="1" t="s">
        <v>12</v>
      </c>
      <c r="J1641" s="1" t="s">
        <v>134</v>
      </c>
      <c r="K1641" s="1" t="s">
        <v>14</v>
      </c>
      <c r="L1641" s="1" t="s">
        <v>12</v>
      </c>
      <c r="M1641" s="1" t="s">
        <v>12</v>
      </c>
      <c r="N1641" s="1">
        <v>21.12</v>
      </c>
      <c r="O1641" s="1" t="s">
        <v>17</v>
      </c>
      <c r="P1641" s="1">
        <v>0.47</v>
      </c>
      <c r="Q1641" s="1" t="s">
        <v>16</v>
      </c>
      <c r="R1641" s="1" t="str">
        <f>IF(N1641="","",VLOOKUP(N1641,Prior_levels,2,TRUE))</f>
        <v>L</v>
      </c>
    </row>
    <row r="1642" spans="1:18" x14ac:dyDescent="0.2">
      <c r="A1642" s="1" t="s">
        <v>185</v>
      </c>
      <c r="B1642" s="1" t="s">
        <v>10</v>
      </c>
      <c r="C1642" s="2">
        <v>41155</v>
      </c>
      <c r="D1642" s="1">
        <v>10</v>
      </c>
      <c r="E1642" s="1" t="s">
        <v>39</v>
      </c>
      <c r="I1642" s="1" t="s">
        <v>12</v>
      </c>
      <c r="J1642" s="1" t="s">
        <v>134</v>
      </c>
      <c r="K1642" s="1" t="s">
        <v>14</v>
      </c>
      <c r="L1642" s="1" t="s">
        <v>12</v>
      </c>
      <c r="M1642" s="1" t="s">
        <v>12</v>
      </c>
      <c r="N1642" s="1">
        <v>21.12</v>
      </c>
      <c r="O1642" s="1" t="s">
        <v>18</v>
      </c>
      <c r="P1642" s="1">
        <v>8</v>
      </c>
      <c r="Q1642" s="1" t="s">
        <v>16</v>
      </c>
      <c r="R1642" s="1" t="str">
        <f>IF(N1642="","",VLOOKUP(N1642,Prior_levels,2,TRUE))</f>
        <v>L</v>
      </c>
    </row>
    <row r="1643" spans="1:18" x14ac:dyDescent="0.2">
      <c r="A1643" s="1" t="s">
        <v>185</v>
      </c>
      <c r="B1643" s="1" t="s">
        <v>10</v>
      </c>
      <c r="C1643" s="2">
        <v>41155</v>
      </c>
      <c r="D1643" s="1">
        <v>10</v>
      </c>
      <c r="E1643" s="1" t="s">
        <v>39</v>
      </c>
      <c r="I1643" s="1" t="s">
        <v>12</v>
      </c>
      <c r="J1643" s="1" t="s">
        <v>134</v>
      </c>
      <c r="K1643" s="1" t="s">
        <v>14</v>
      </c>
      <c r="L1643" s="1" t="s">
        <v>12</v>
      </c>
      <c r="M1643" s="1" t="s">
        <v>12</v>
      </c>
      <c r="N1643" s="1">
        <v>21.12</v>
      </c>
      <c r="O1643" s="1" t="s">
        <v>19</v>
      </c>
      <c r="P1643" s="1">
        <v>6</v>
      </c>
      <c r="Q1643" s="1" t="s">
        <v>16</v>
      </c>
      <c r="R1643" s="1" t="str">
        <f>IF(N1643="","",VLOOKUP(N1643,Prior_levels,2,TRUE))</f>
        <v>L</v>
      </c>
    </row>
    <row r="1644" spans="1:18" x14ac:dyDescent="0.2">
      <c r="A1644" s="1" t="s">
        <v>185</v>
      </c>
      <c r="B1644" s="1" t="s">
        <v>10</v>
      </c>
      <c r="C1644" s="2">
        <v>41155</v>
      </c>
      <c r="D1644" s="1">
        <v>10</v>
      </c>
      <c r="E1644" s="1" t="s">
        <v>39</v>
      </c>
      <c r="I1644" s="1" t="s">
        <v>12</v>
      </c>
      <c r="J1644" s="1" t="s">
        <v>134</v>
      </c>
      <c r="K1644" s="1" t="s">
        <v>14</v>
      </c>
      <c r="L1644" s="1" t="s">
        <v>12</v>
      </c>
      <c r="M1644" s="1" t="s">
        <v>12</v>
      </c>
      <c r="N1644" s="1">
        <v>21.12</v>
      </c>
      <c r="O1644" s="1" t="s">
        <v>20</v>
      </c>
      <c r="P1644" s="1">
        <v>8</v>
      </c>
      <c r="Q1644" s="1" t="s">
        <v>16</v>
      </c>
      <c r="R1644" s="1" t="str">
        <f>IF(N1644="","",VLOOKUP(N1644,Prior_levels,2,TRUE))</f>
        <v>L</v>
      </c>
    </row>
    <row r="1645" spans="1:18" x14ac:dyDescent="0.2">
      <c r="A1645" s="1" t="s">
        <v>185</v>
      </c>
      <c r="B1645" s="1" t="s">
        <v>10</v>
      </c>
      <c r="C1645" s="2">
        <v>41155</v>
      </c>
      <c r="D1645" s="1">
        <v>10</v>
      </c>
      <c r="E1645" s="1" t="s">
        <v>39</v>
      </c>
      <c r="I1645" s="1" t="s">
        <v>12</v>
      </c>
      <c r="J1645" s="1" t="s">
        <v>134</v>
      </c>
      <c r="K1645" s="1" t="s">
        <v>14</v>
      </c>
      <c r="L1645" s="1" t="s">
        <v>12</v>
      </c>
      <c r="M1645" s="1" t="s">
        <v>12</v>
      </c>
      <c r="N1645" s="1">
        <v>21.12</v>
      </c>
      <c r="O1645" s="1" t="s">
        <v>21</v>
      </c>
      <c r="P1645" s="1">
        <v>11</v>
      </c>
      <c r="Q1645" s="1" t="s">
        <v>16</v>
      </c>
      <c r="R1645" s="1" t="str">
        <f>IF(N1645="","",VLOOKUP(N1645,Prior_levels,2,TRUE))</f>
        <v>L</v>
      </c>
    </row>
    <row r="1646" spans="1:18" x14ac:dyDescent="0.2">
      <c r="A1646" s="1" t="s">
        <v>185</v>
      </c>
      <c r="B1646" s="1" t="s">
        <v>10</v>
      </c>
      <c r="C1646" s="2">
        <v>41155</v>
      </c>
      <c r="D1646" s="1">
        <v>10</v>
      </c>
      <c r="E1646" s="1" t="s">
        <v>39</v>
      </c>
      <c r="I1646" s="1" t="s">
        <v>12</v>
      </c>
      <c r="J1646" s="1" t="s">
        <v>134</v>
      </c>
      <c r="K1646" s="1" t="s">
        <v>14</v>
      </c>
      <c r="L1646" s="1" t="s">
        <v>12</v>
      </c>
      <c r="M1646" s="1" t="s">
        <v>12</v>
      </c>
      <c r="N1646" s="1">
        <v>21.12</v>
      </c>
      <c r="O1646" s="1" t="s">
        <v>22</v>
      </c>
      <c r="P1646" s="1">
        <v>0.34</v>
      </c>
      <c r="Q1646" s="1" t="s">
        <v>16</v>
      </c>
      <c r="R1646" s="1" t="str">
        <f>IF(N1646="","",VLOOKUP(N1646,Prior_levels,2,TRUE))</f>
        <v>L</v>
      </c>
    </row>
    <row r="1647" spans="1:18" x14ac:dyDescent="0.2">
      <c r="A1647" s="1" t="s">
        <v>185</v>
      </c>
      <c r="B1647" s="1" t="s">
        <v>10</v>
      </c>
      <c r="C1647" s="2">
        <v>41155</v>
      </c>
      <c r="D1647" s="1">
        <v>10</v>
      </c>
      <c r="E1647" s="1" t="s">
        <v>39</v>
      </c>
      <c r="I1647" s="1" t="s">
        <v>12</v>
      </c>
      <c r="J1647" s="1" t="s">
        <v>134</v>
      </c>
      <c r="K1647" s="1" t="s">
        <v>14</v>
      </c>
      <c r="L1647" s="1" t="s">
        <v>12</v>
      </c>
      <c r="M1647" s="1" t="s">
        <v>12</v>
      </c>
      <c r="N1647" s="1">
        <v>21.12</v>
      </c>
      <c r="O1647" s="1" t="s">
        <v>23</v>
      </c>
      <c r="P1647" s="1">
        <v>0.39</v>
      </c>
      <c r="Q1647" s="1" t="s">
        <v>16</v>
      </c>
      <c r="R1647" s="1" t="str">
        <f>IF(N1647="","",VLOOKUP(N1647,Prior_levels,2,TRUE))</f>
        <v>L</v>
      </c>
    </row>
    <row r="1648" spans="1:18" x14ac:dyDescent="0.2">
      <c r="A1648" s="1" t="s">
        <v>185</v>
      </c>
      <c r="B1648" s="1" t="s">
        <v>10</v>
      </c>
      <c r="C1648" s="2">
        <v>41155</v>
      </c>
      <c r="D1648" s="1">
        <v>10</v>
      </c>
      <c r="E1648" s="1" t="s">
        <v>39</v>
      </c>
      <c r="I1648" s="1" t="s">
        <v>12</v>
      </c>
      <c r="J1648" s="1" t="s">
        <v>134</v>
      </c>
      <c r="K1648" s="1" t="s">
        <v>14</v>
      </c>
      <c r="L1648" s="1" t="s">
        <v>12</v>
      </c>
      <c r="M1648" s="1" t="s">
        <v>12</v>
      </c>
      <c r="N1648" s="1">
        <v>21.12</v>
      </c>
      <c r="O1648" s="1" t="s">
        <v>24</v>
      </c>
      <c r="P1648" s="1">
        <v>3.49</v>
      </c>
      <c r="Q1648" s="1" t="s">
        <v>16</v>
      </c>
      <c r="R1648" s="1" t="str">
        <f>IF(N1648="","",VLOOKUP(N1648,Prior_levels,2,TRUE))</f>
        <v>L</v>
      </c>
    </row>
    <row r="1649" spans="1:18" x14ac:dyDescent="0.2">
      <c r="A1649" s="1" t="s">
        <v>185</v>
      </c>
      <c r="B1649" s="1" t="s">
        <v>10</v>
      </c>
      <c r="C1649" s="2">
        <v>41155</v>
      </c>
      <c r="D1649" s="1">
        <v>10</v>
      </c>
      <c r="E1649" s="1" t="s">
        <v>39</v>
      </c>
      <c r="I1649" s="1" t="s">
        <v>12</v>
      </c>
      <c r="J1649" s="1" t="s">
        <v>134</v>
      </c>
      <c r="K1649" s="1" t="s">
        <v>14</v>
      </c>
      <c r="L1649" s="1" t="s">
        <v>12</v>
      </c>
      <c r="M1649" s="1" t="s">
        <v>12</v>
      </c>
      <c r="N1649" s="1">
        <v>21.12</v>
      </c>
      <c r="O1649" s="1" t="s">
        <v>25</v>
      </c>
      <c r="P1649" s="1">
        <v>-0.2</v>
      </c>
      <c r="Q1649" s="1" t="s">
        <v>16</v>
      </c>
      <c r="R1649" s="1" t="str">
        <f>IF(N1649="","",VLOOKUP(N1649,Prior_levels,2,TRUE))</f>
        <v>L</v>
      </c>
    </row>
    <row r="1650" spans="1:18" x14ac:dyDescent="0.2">
      <c r="A1650" s="1" t="s">
        <v>185</v>
      </c>
      <c r="B1650" s="1" t="s">
        <v>10</v>
      </c>
      <c r="C1650" s="2">
        <v>41155</v>
      </c>
      <c r="D1650" s="1">
        <v>10</v>
      </c>
      <c r="E1650" s="1" t="s">
        <v>39</v>
      </c>
      <c r="I1650" s="1" t="s">
        <v>12</v>
      </c>
      <c r="J1650" s="1" t="s">
        <v>134</v>
      </c>
      <c r="K1650" s="1" t="s">
        <v>14</v>
      </c>
      <c r="L1650" s="1" t="s">
        <v>12</v>
      </c>
      <c r="M1650" s="1" t="s">
        <v>12</v>
      </c>
      <c r="N1650" s="1">
        <v>21.12</v>
      </c>
      <c r="O1650" s="1" t="s">
        <v>26</v>
      </c>
      <c r="P1650" s="1">
        <v>1</v>
      </c>
      <c r="Q1650" s="1" t="s">
        <v>16</v>
      </c>
      <c r="R1650" s="1" t="str">
        <f>IF(N1650="","",VLOOKUP(N1650,Prior_levels,2,TRUE))</f>
        <v>L</v>
      </c>
    </row>
    <row r="1651" spans="1:18" x14ac:dyDescent="0.2">
      <c r="A1651" s="1" t="s">
        <v>185</v>
      </c>
      <c r="B1651" s="1" t="s">
        <v>10</v>
      </c>
      <c r="C1651" s="2">
        <v>41155</v>
      </c>
      <c r="D1651" s="1">
        <v>10</v>
      </c>
      <c r="E1651" s="1" t="s">
        <v>39</v>
      </c>
      <c r="I1651" s="1" t="s">
        <v>12</v>
      </c>
      <c r="J1651" s="1" t="s">
        <v>134</v>
      </c>
      <c r="K1651" s="1" t="s">
        <v>14</v>
      </c>
      <c r="L1651" s="1" t="s">
        <v>12</v>
      </c>
      <c r="M1651" s="1" t="s">
        <v>12</v>
      </c>
      <c r="N1651" s="1">
        <v>21.12</v>
      </c>
      <c r="O1651" s="1" t="s">
        <v>32</v>
      </c>
      <c r="P1651" s="1" t="s">
        <v>28</v>
      </c>
      <c r="Q1651" s="1" t="s">
        <v>16</v>
      </c>
      <c r="R1651" s="1" t="str">
        <f>IF(N1651="","",VLOOKUP(N1651,Prior_levels,2,TRUE))</f>
        <v>L</v>
      </c>
    </row>
    <row r="1652" spans="1:18" x14ac:dyDescent="0.2">
      <c r="A1652" s="1" t="s">
        <v>185</v>
      </c>
      <c r="B1652" s="1" t="s">
        <v>10</v>
      </c>
      <c r="C1652" s="2">
        <v>41155</v>
      </c>
      <c r="D1652" s="1">
        <v>10</v>
      </c>
      <c r="E1652" s="1" t="s">
        <v>39</v>
      </c>
      <c r="I1652" s="1" t="s">
        <v>12</v>
      </c>
      <c r="J1652" s="1" t="s">
        <v>134</v>
      </c>
      <c r="K1652" s="1" t="s">
        <v>14</v>
      </c>
      <c r="L1652" s="1" t="s">
        <v>12</v>
      </c>
      <c r="M1652" s="1" t="s">
        <v>12</v>
      </c>
      <c r="N1652" s="1">
        <v>21.12</v>
      </c>
      <c r="O1652" s="1" t="s">
        <v>27</v>
      </c>
      <c r="P1652" s="1" t="s">
        <v>28</v>
      </c>
      <c r="Q1652" s="1" t="s">
        <v>16</v>
      </c>
      <c r="R1652" s="1" t="str">
        <f>IF(N1652="","",VLOOKUP(N1652,Prior_levels,2,TRUE))</f>
        <v>L</v>
      </c>
    </row>
    <row r="1653" spans="1:18" x14ac:dyDescent="0.2">
      <c r="A1653" s="1" t="s">
        <v>185</v>
      </c>
      <c r="B1653" s="1" t="s">
        <v>10</v>
      </c>
      <c r="C1653" s="2">
        <v>41155</v>
      </c>
      <c r="D1653" s="1">
        <v>10</v>
      </c>
      <c r="E1653" s="1" t="s">
        <v>39</v>
      </c>
      <c r="I1653" s="1" t="s">
        <v>12</v>
      </c>
      <c r="J1653" s="1" t="s">
        <v>134</v>
      </c>
      <c r="K1653" s="1" t="s">
        <v>14</v>
      </c>
      <c r="L1653" s="1" t="s">
        <v>12</v>
      </c>
      <c r="M1653" s="1" t="s">
        <v>12</v>
      </c>
      <c r="N1653" s="1">
        <v>21.12</v>
      </c>
      <c r="O1653" s="1" t="s">
        <v>29</v>
      </c>
      <c r="P1653" s="1" t="s">
        <v>28</v>
      </c>
      <c r="Q1653" s="1" t="s">
        <v>16</v>
      </c>
      <c r="R1653" s="1" t="str">
        <f>IF(N1653="","",VLOOKUP(N1653,Prior_levels,2,TRUE))</f>
        <v>L</v>
      </c>
    </row>
    <row r="1654" spans="1:18" x14ac:dyDescent="0.2">
      <c r="A1654" s="1" t="s">
        <v>185</v>
      </c>
      <c r="B1654" s="1" t="s">
        <v>10</v>
      </c>
      <c r="C1654" s="2">
        <v>41155</v>
      </c>
      <c r="D1654" s="1">
        <v>10</v>
      </c>
      <c r="E1654" s="1" t="s">
        <v>39</v>
      </c>
      <c r="I1654" s="1" t="s">
        <v>12</v>
      </c>
      <c r="J1654" s="1" t="s">
        <v>134</v>
      </c>
      <c r="K1654" s="1" t="s">
        <v>14</v>
      </c>
      <c r="L1654" s="1" t="s">
        <v>12</v>
      </c>
      <c r="M1654" s="1" t="s">
        <v>12</v>
      </c>
      <c r="N1654" s="1">
        <v>21.12</v>
      </c>
      <c r="O1654" s="1" t="s">
        <v>30</v>
      </c>
      <c r="P1654" s="1" t="s">
        <v>28</v>
      </c>
      <c r="Q1654" s="1" t="s">
        <v>16</v>
      </c>
      <c r="R1654" s="1" t="str">
        <f>IF(N1654="","",VLOOKUP(N1654,Prior_levels,2,TRUE))</f>
        <v>L</v>
      </c>
    </row>
    <row r="1655" spans="1:18" x14ac:dyDescent="0.2">
      <c r="A1655" s="1" t="s">
        <v>185</v>
      </c>
      <c r="B1655" s="1" t="s">
        <v>10</v>
      </c>
      <c r="C1655" s="2">
        <v>41155</v>
      </c>
      <c r="D1655" s="1">
        <v>10</v>
      </c>
      <c r="E1655" s="1" t="s">
        <v>39</v>
      </c>
      <c r="I1655" s="1" t="s">
        <v>12</v>
      </c>
      <c r="J1655" s="1" t="s">
        <v>134</v>
      </c>
      <c r="K1655" s="1" t="s">
        <v>14</v>
      </c>
      <c r="L1655" s="1" t="s">
        <v>12</v>
      </c>
      <c r="M1655" s="1" t="s">
        <v>12</v>
      </c>
      <c r="N1655" s="1">
        <v>21.12</v>
      </c>
      <c r="O1655" s="1" t="s">
        <v>31</v>
      </c>
      <c r="P1655" s="1" t="s">
        <v>28</v>
      </c>
      <c r="Q1655" s="1" t="s">
        <v>16</v>
      </c>
      <c r="R1655" s="1" t="str">
        <f>IF(N1655="","",VLOOKUP(N1655,Prior_levels,2,TRUE))</f>
        <v>L</v>
      </c>
    </row>
    <row r="1656" spans="1:18" x14ac:dyDescent="0.2">
      <c r="A1656" s="1" t="s">
        <v>186</v>
      </c>
      <c r="B1656" s="1" t="s">
        <v>10</v>
      </c>
      <c r="C1656" s="2">
        <v>41155</v>
      </c>
      <c r="D1656" s="1">
        <v>10</v>
      </c>
      <c r="E1656" s="1" t="s">
        <v>47</v>
      </c>
      <c r="I1656" s="1" t="s">
        <v>12</v>
      </c>
      <c r="J1656" s="1" t="s">
        <v>86</v>
      </c>
      <c r="K1656" s="1" t="s">
        <v>14</v>
      </c>
      <c r="L1656" s="1" t="s">
        <v>12</v>
      </c>
      <c r="M1656" s="1" t="s">
        <v>12</v>
      </c>
      <c r="N1656" s="1">
        <v>21.12</v>
      </c>
      <c r="O1656" s="1" t="s">
        <v>15</v>
      </c>
      <c r="P1656" s="1">
        <v>2.5</v>
      </c>
      <c r="Q1656" s="1" t="s">
        <v>16</v>
      </c>
      <c r="R1656" s="1" t="str">
        <f>IF(N1656="","",VLOOKUP(N1656,Prior_levels,2,TRUE))</f>
        <v>L</v>
      </c>
    </row>
    <row r="1657" spans="1:18" x14ac:dyDescent="0.2">
      <c r="A1657" s="1" t="s">
        <v>186</v>
      </c>
      <c r="B1657" s="1" t="s">
        <v>10</v>
      </c>
      <c r="C1657" s="2">
        <v>41155</v>
      </c>
      <c r="D1657" s="1">
        <v>10</v>
      </c>
      <c r="E1657" s="1" t="s">
        <v>47</v>
      </c>
      <c r="I1657" s="1" t="s">
        <v>12</v>
      </c>
      <c r="J1657" s="1" t="s">
        <v>86</v>
      </c>
      <c r="K1657" s="1" t="s">
        <v>14</v>
      </c>
      <c r="L1657" s="1" t="s">
        <v>12</v>
      </c>
      <c r="M1657" s="1" t="s">
        <v>12</v>
      </c>
      <c r="N1657" s="1">
        <v>21.12</v>
      </c>
      <c r="O1657" s="1" t="s">
        <v>17</v>
      </c>
      <c r="P1657" s="1">
        <v>-0.33</v>
      </c>
      <c r="Q1657" s="1" t="s">
        <v>16</v>
      </c>
      <c r="R1657" s="1" t="str">
        <f>IF(N1657="","",VLOOKUP(N1657,Prior_levels,2,TRUE))</f>
        <v>L</v>
      </c>
    </row>
    <row r="1658" spans="1:18" x14ac:dyDescent="0.2">
      <c r="A1658" s="1" t="s">
        <v>186</v>
      </c>
      <c r="B1658" s="1" t="s">
        <v>10</v>
      </c>
      <c r="C1658" s="2">
        <v>41155</v>
      </c>
      <c r="D1658" s="1">
        <v>10</v>
      </c>
      <c r="E1658" s="1" t="s">
        <v>47</v>
      </c>
      <c r="I1658" s="1" t="s">
        <v>12</v>
      </c>
      <c r="J1658" s="1" t="s">
        <v>86</v>
      </c>
      <c r="K1658" s="1" t="s">
        <v>14</v>
      </c>
      <c r="L1658" s="1" t="s">
        <v>12</v>
      </c>
      <c r="M1658" s="1" t="s">
        <v>12</v>
      </c>
      <c r="N1658" s="1">
        <v>21.12</v>
      </c>
      <c r="O1658" s="1" t="s">
        <v>18</v>
      </c>
      <c r="P1658" s="1">
        <v>6</v>
      </c>
      <c r="Q1658" s="1" t="s">
        <v>16</v>
      </c>
      <c r="R1658" s="1" t="str">
        <f>IF(N1658="","",VLOOKUP(N1658,Prior_levels,2,TRUE))</f>
        <v>L</v>
      </c>
    </row>
    <row r="1659" spans="1:18" x14ac:dyDescent="0.2">
      <c r="A1659" s="1" t="s">
        <v>186</v>
      </c>
      <c r="B1659" s="1" t="s">
        <v>10</v>
      </c>
      <c r="C1659" s="2">
        <v>41155</v>
      </c>
      <c r="D1659" s="1">
        <v>10</v>
      </c>
      <c r="E1659" s="1" t="s">
        <v>47</v>
      </c>
      <c r="I1659" s="1" t="s">
        <v>12</v>
      </c>
      <c r="J1659" s="1" t="s">
        <v>86</v>
      </c>
      <c r="K1659" s="1" t="s">
        <v>14</v>
      </c>
      <c r="L1659" s="1" t="s">
        <v>12</v>
      </c>
      <c r="M1659" s="1" t="s">
        <v>12</v>
      </c>
      <c r="N1659" s="1">
        <v>21.12</v>
      </c>
      <c r="O1659" s="1" t="s">
        <v>19</v>
      </c>
      <c r="P1659" s="1">
        <v>6</v>
      </c>
      <c r="Q1659" s="1" t="s">
        <v>16</v>
      </c>
      <c r="R1659" s="1" t="str">
        <f>IF(N1659="","",VLOOKUP(N1659,Prior_levels,2,TRUE))</f>
        <v>L</v>
      </c>
    </row>
    <row r="1660" spans="1:18" x14ac:dyDescent="0.2">
      <c r="A1660" s="1" t="s">
        <v>186</v>
      </c>
      <c r="B1660" s="1" t="s">
        <v>10</v>
      </c>
      <c r="C1660" s="2">
        <v>41155</v>
      </c>
      <c r="D1660" s="1">
        <v>10</v>
      </c>
      <c r="E1660" s="1" t="s">
        <v>47</v>
      </c>
      <c r="I1660" s="1" t="s">
        <v>12</v>
      </c>
      <c r="J1660" s="1" t="s">
        <v>86</v>
      </c>
      <c r="K1660" s="1" t="s">
        <v>14</v>
      </c>
      <c r="L1660" s="1" t="s">
        <v>12</v>
      </c>
      <c r="M1660" s="1" t="s">
        <v>12</v>
      </c>
      <c r="N1660" s="1">
        <v>21.12</v>
      </c>
      <c r="O1660" s="1" t="s">
        <v>20</v>
      </c>
      <c r="P1660" s="1">
        <v>6</v>
      </c>
      <c r="Q1660" s="1" t="s">
        <v>16</v>
      </c>
      <c r="R1660" s="1" t="str">
        <f>IF(N1660="","",VLOOKUP(N1660,Prior_levels,2,TRUE))</f>
        <v>L</v>
      </c>
    </row>
    <row r="1661" spans="1:18" x14ac:dyDescent="0.2">
      <c r="A1661" s="1" t="s">
        <v>186</v>
      </c>
      <c r="B1661" s="1" t="s">
        <v>10</v>
      </c>
      <c r="C1661" s="2">
        <v>41155</v>
      </c>
      <c r="D1661" s="1">
        <v>10</v>
      </c>
      <c r="E1661" s="1" t="s">
        <v>47</v>
      </c>
      <c r="I1661" s="1" t="s">
        <v>12</v>
      </c>
      <c r="J1661" s="1" t="s">
        <v>86</v>
      </c>
      <c r="K1661" s="1" t="s">
        <v>14</v>
      </c>
      <c r="L1661" s="1" t="s">
        <v>12</v>
      </c>
      <c r="M1661" s="1" t="s">
        <v>12</v>
      </c>
      <c r="N1661" s="1">
        <v>21.12</v>
      </c>
      <c r="O1661" s="1" t="s">
        <v>21</v>
      </c>
      <c r="P1661" s="1">
        <v>7</v>
      </c>
      <c r="Q1661" s="1" t="s">
        <v>16</v>
      </c>
      <c r="R1661" s="1" t="str">
        <f>IF(N1661="","",VLOOKUP(N1661,Prior_levels,2,TRUE))</f>
        <v>L</v>
      </c>
    </row>
    <row r="1662" spans="1:18" x14ac:dyDescent="0.2">
      <c r="A1662" s="1" t="s">
        <v>186</v>
      </c>
      <c r="B1662" s="1" t="s">
        <v>10</v>
      </c>
      <c r="C1662" s="2">
        <v>41155</v>
      </c>
      <c r="D1662" s="1">
        <v>10</v>
      </c>
      <c r="E1662" s="1" t="s">
        <v>47</v>
      </c>
      <c r="I1662" s="1" t="s">
        <v>12</v>
      </c>
      <c r="J1662" s="1" t="s">
        <v>86</v>
      </c>
      <c r="K1662" s="1" t="s">
        <v>14</v>
      </c>
      <c r="L1662" s="1" t="s">
        <v>12</v>
      </c>
      <c r="M1662" s="1" t="s">
        <v>12</v>
      </c>
      <c r="N1662" s="1">
        <v>21.12</v>
      </c>
      <c r="O1662" s="1" t="s">
        <v>22</v>
      </c>
      <c r="P1662" s="1">
        <v>-0.66</v>
      </c>
      <c r="Q1662" s="1" t="s">
        <v>16</v>
      </c>
      <c r="R1662" s="1" t="str">
        <f>IF(N1662="","",VLOOKUP(N1662,Prior_levels,2,TRUE))</f>
        <v>L</v>
      </c>
    </row>
    <row r="1663" spans="1:18" x14ac:dyDescent="0.2">
      <c r="A1663" s="1" t="s">
        <v>186</v>
      </c>
      <c r="B1663" s="1" t="s">
        <v>10</v>
      </c>
      <c r="C1663" s="2">
        <v>41155</v>
      </c>
      <c r="D1663" s="1">
        <v>10</v>
      </c>
      <c r="E1663" s="1" t="s">
        <v>47</v>
      </c>
      <c r="I1663" s="1" t="s">
        <v>12</v>
      </c>
      <c r="J1663" s="1" t="s">
        <v>86</v>
      </c>
      <c r="K1663" s="1" t="s">
        <v>14</v>
      </c>
      <c r="L1663" s="1" t="s">
        <v>12</v>
      </c>
      <c r="M1663" s="1" t="s">
        <v>12</v>
      </c>
      <c r="N1663" s="1">
        <v>21.12</v>
      </c>
      <c r="O1663" s="1" t="s">
        <v>23</v>
      </c>
      <c r="P1663" s="1">
        <v>0.39</v>
      </c>
      <c r="Q1663" s="1" t="s">
        <v>16</v>
      </c>
      <c r="R1663" s="1" t="str">
        <f>IF(N1663="","",VLOOKUP(N1663,Prior_levels,2,TRUE))</f>
        <v>L</v>
      </c>
    </row>
    <row r="1664" spans="1:18" x14ac:dyDescent="0.2">
      <c r="A1664" s="1" t="s">
        <v>186</v>
      </c>
      <c r="B1664" s="1" t="s">
        <v>10</v>
      </c>
      <c r="C1664" s="2">
        <v>41155</v>
      </c>
      <c r="D1664" s="1">
        <v>10</v>
      </c>
      <c r="E1664" s="1" t="s">
        <v>47</v>
      </c>
      <c r="I1664" s="1" t="s">
        <v>12</v>
      </c>
      <c r="J1664" s="1" t="s">
        <v>86</v>
      </c>
      <c r="K1664" s="1" t="s">
        <v>14</v>
      </c>
      <c r="L1664" s="1" t="s">
        <v>12</v>
      </c>
      <c r="M1664" s="1" t="s">
        <v>12</v>
      </c>
      <c r="N1664" s="1">
        <v>21.12</v>
      </c>
      <c r="O1664" s="1" t="s">
        <v>25</v>
      </c>
      <c r="P1664" s="1">
        <v>-4.2</v>
      </c>
      <c r="Q1664" s="1" t="s">
        <v>16</v>
      </c>
      <c r="R1664" s="1" t="str">
        <f>IF(N1664="","",VLOOKUP(N1664,Prior_levels,2,TRUE))</f>
        <v>L</v>
      </c>
    </row>
    <row r="1665" spans="1:18" x14ac:dyDescent="0.2">
      <c r="A1665" s="1" t="s">
        <v>186</v>
      </c>
      <c r="B1665" s="1" t="s">
        <v>10</v>
      </c>
      <c r="C1665" s="2">
        <v>41155</v>
      </c>
      <c r="D1665" s="1">
        <v>10</v>
      </c>
      <c r="E1665" s="1" t="s">
        <v>47</v>
      </c>
      <c r="I1665" s="1" t="s">
        <v>12</v>
      </c>
      <c r="J1665" s="1" t="s">
        <v>86</v>
      </c>
      <c r="K1665" s="1" t="s">
        <v>14</v>
      </c>
      <c r="L1665" s="1" t="s">
        <v>12</v>
      </c>
      <c r="M1665" s="1" t="s">
        <v>12</v>
      </c>
      <c r="N1665" s="1">
        <v>21.12</v>
      </c>
      <c r="O1665" s="1" t="s">
        <v>26</v>
      </c>
      <c r="P1665" s="1">
        <v>0</v>
      </c>
      <c r="Q1665" s="1" t="s">
        <v>16</v>
      </c>
      <c r="R1665" s="1" t="str">
        <f>IF(N1665="","",VLOOKUP(N1665,Prior_levels,2,TRUE))</f>
        <v>L</v>
      </c>
    </row>
    <row r="1666" spans="1:18" x14ac:dyDescent="0.2">
      <c r="A1666" s="1" t="s">
        <v>186</v>
      </c>
      <c r="B1666" s="1" t="s">
        <v>10</v>
      </c>
      <c r="C1666" s="2">
        <v>41155</v>
      </c>
      <c r="D1666" s="1">
        <v>10</v>
      </c>
      <c r="E1666" s="1" t="s">
        <v>47</v>
      </c>
      <c r="I1666" s="1" t="s">
        <v>12</v>
      </c>
      <c r="J1666" s="1" t="s">
        <v>86</v>
      </c>
      <c r="K1666" s="1" t="s">
        <v>14</v>
      </c>
      <c r="L1666" s="1" t="s">
        <v>12</v>
      </c>
      <c r="M1666" s="1" t="s">
        <v>12</v>
      </c>
      <c r="N1666" s="1">
        <v>21.12</v>
      </c>
      <c r="O1666" s="1" t="s">
        <v>24</v>
      </c>
      <c r="P1666" s="1">
        <v>1.49</v>
      </c>
      <c r="Q1666" s="1" t="s">
        <v>16</v>
      </c>
      <c r="R1666" s="1" t="str">
        <f>IF(N1666="","",VLOOKUP(N1666,Prior_levels,2,TRUE))</f>
        <v>L</v>
      </c>
    </row>
    <row r="1667" spans="1:18" x14ac:dyDescent="0.2">
      <c r="A1667" s="1" t="s">
        <v>186</v>
      </c>
      <c r="B1667" s="1" t="s">
        <v>10</v>
      </c>
      <c r="C1667" s="2">
        <v>41155</v>
      </c>
      <c r="D1667" s="1">
        <v>10</v>
      </c>
      <c r="E1667" s="1" t="s">
        <v>47</v>
      </c>
      <c r="I1667" s="1" t="s">
        <v>12</v>
      </c>
      <c r="J1667" s="1" t="s">
        <v>86</v>
      </c>
      <c r="K1667" s="1" t="s">
        <v>14</v>
      </c>
      <c r="L1667" s="1" t="s">
        <v>12</v>
      </c>
      <c r="M1667" s="1" t="s">
        <v>12</v>
      </c>
      <c r="N1667" s="1">
        <v>21.12</v>
      </c>
      <c r="O1667" s="1" t="s">
        <v>27</v>
      </c>
      <c r="P1667" s="1" t="s">
        <v>28</v>
      </c>
      <c r="Q1667" s="1" t="s">
        <v>16</v>
      </c>
      <c r="R1667" s="1" t="str">
        <f>IF(N1667="","",VLOOKUP(N1667,Prior_levels,2,TRUE))</f>
        <v>L</v>
      </c>
    </row>
    <row r="1668" spans="1:18" x14ac:dyDescent="0.2">
      <c r="A1668" s="1" t="s">
        <v>186</v>
      </c>
      <c r="B1668" s="1" t="s">
        <v>10</v>
      </c>
      <c r="C1668" s="2">
        <v>41155</v>
      </c>
      <c r="D1668" s="1">
        <v>10</v>
      </c>
      <c r="E1668" s="1" t="s">
        <v>47</v>
      </c>
      <c r="I1668" s="1" t="s">
        <v>12</v>
      </c>
      <c r="J1668" s="1" t="s">
        <v>86</v>
      </c>
      <c r="K1668" s="1" t="s">
        <v>14</v>
      </c>
      <c r="L1668" s="1" t="s">
        <v>12</v>
      </c>
      <c r="M1668" s="1" t="s">
        <v>12</v>
      </c>
      <c r="N1668" s="1">
        <v>21.12</v>
      </c>
      <c r="O1668" s="1" t="s">
        <v>29</v>
      </c>
      <c r="P1668" s="1" t="s">
        <v>28</v>
      </c>
      <c r="Q1668" s="1" t="s">
        <v>16</v>
      </c>
      <c r="R1668" s="1" t="str">
        <f>IF(N1668="","",VLOOKUP(N1668,Prior_levels,2,TRUE))</f>
        <v>L</v>
      </c>
    </row>
    <row r="1669" spans="1:18" x14ac:dyDescent="0.2">
      <c r="A1669" s="1" t="s">
        <v>186</v>
      </c>
      <c r="B1669" s="1" t="s">
        <v>10</v>
      </c>
      <c r="C1669" s="2">
        <v>41155</v>
      </c>
      <c r="D1669" s="1">
        <v>10</v>
      </c>
      <c r="E1669" s="1" t="s">
        <v>47</v>
      </c>
      <c r="I1669" s="1" t="s">
        <v>12</v>
      </c>
      <c r="J1669" s="1" t="s">
        <v>86</v>
      </c>
      <c r="K1669" s="1" t="s">
        <v>14</v>
      </c>
      <c r="L1669" s="1" t="s">
        <v>12</v>
      </c>
      <c r="M1669" s="1" t="s">
        <v>12</v>
      </c>
      <c r="N1669" s="1">
        <v>21.12</v>
      </c>
      <c r="O1669" s="1" t="s">
        <v>30</v>
      </c>
      <c r="P1669" s="1" t="s">
        <v>28</v>
      </c>
      <c r="Q1669" s="1" t="s">
        <v>16</v>
      </c>
      <c r="R1669" s="1" t="str">
        <f>IF(N1669="","",VLOOKUP(N1669,Prior_levels,2,TRUE))</f>
        <v>L</v>
      </c>
    </row>
    <row r="1670" spans="1:18" x14ac:dyDescent="0.2">
      <c r="A1670" s="1" t="s">
        <v>186</v>
      </c>
      <c r="B1670" s="1" t="s">
        <v>10</v>
      </c>
      <c r="C1670" s="2">
        <v>41155</v>
      </c>
      <c r="D1670" s="1">
        <v>10</v>
      </c>
      <c r="E1670" s="1" t="s">
        <v>47</v>
      </c>
      <c r="I1670" s="1" t="s">
        <v>12</v>
      </c>
      <c r="J1670" s="1" t="s">
        <v>86</v>
      </c>
      <c r="K1670" s="1" t="s">
        <v>14</v>
      </c>
      <c r="L1670" s="1" t="s">
        <v>12</v>
      </c>
      <c r="M1670" s="1" t="s">
        <v>12</v>
      </c>
      <c r="N1670" s="1">
        <v>21.12</v>
      </c>
      <c r="O1670" s="1" t="s">
        <v>31</v>
      </c>
      <c r="P1670" s="1" t="s">
        <v>28</v>
      </c>
      <c r="Q1670" s="1" t="s">
        <v>16</v>
      </c>
      <c r="R1670" s="1" t="str">
        <f>IF(N1670="","",VLOOKUP(N1670,Prior_levels,2,TRUE))</f>
        <v>L</v>
      </c>
    </row>
    <row r="1671" spans="1:18" x14ac:dyDescent="0.2">
      <c r="A1671" s="1" t="s">
        <v>186</v>
      </c>
      <c r="B1671" s="1" t="s">
        <v>10</v>
      </c>
      <c r="C1671" s="2">
        <v>41155</v>
      </c>
      <c r="D1671" s="1">
        <v>10</v>
      </c>
      <c r="E1671" s="1" t="s">
        <v>47</v>
      </c>
      <c r="I1671" s="1" t="s">
        <v>12</v>
      </c>
      <c r="J1671" s="1" t="s">
        <v>86</v>
      </c>
      <c r="K1671" s="1" t="s">
        <v>14</v>
      </c>
      <c r="L1671" s="1" t="s">
        <v>12</v>
      </c>
      <c r="M1671" s="1" t="s">
        <v>12</v>
      </c>
      <c r="N1671" s="1">
        <v>21.12</v>
      </c>
      <c r="O1671" s="1" t="s">
        <v>32</v>
      </c>
      <c r="P1671" s="1" t="s">
        <v>28</v>
      </c>
      <c r="Q1671" s="1" t="s">
        <v>16</v>
      </c>
      <c r="R1671" s="1" t="str">
        <f>IF(N1671="","",VLOOKUP(N1671,Prior_levels,2,TRUE))</f>
        <v>L</v>
      </c>
    </row>
    <row r="1672" spans="1:18" x14ac:dyDescent="0.2">
      <c r="A1672" s="1" t="s">
        <v>187</v>
      </c>
      <c r="B1672" s="1" t="s">
        <v>10</v>
      </c>
      <c r="C1672" s="2">
        <v>41155</v>
      </c>
      <c r="D1672" s="1">
        <v>10</v>
      </c>
      <c r="E1672" s="1" t="s">
        <v>39</v>
      </c>
      <c r="I1672" s="1" t="s">
        <v>12</v>
      </c>
      <c r="J1672" s="1" t="s">
        <v>40</v>
      </c>
      <c r="K1672" s="1" t="s">
        <v>14</v>
      </c>
      <c r="L1672" s="1" t="s">
        <v>12</v>
      </c>
      <c r="M1672" s="1" t="s">
        <v>12</v>
      </c>
      <c r="N1672" s="1">
        <v>21.12</v>
      </c>
      <c r="O1672" s="1" t="s">
        <v>15</v>
      </c>
      <c r="P1672" s="1">
        <v>2.8</v>
      </c>
      <c r="Q1672" s="1" t="s">
        <v>16</v>
      </c>
      <c r="R1672" s="1" t="str">
        <f>IF(N1672="","",VLOOKUP(N1672,Prior_levels,2,TRUE))</f>
        <v>L</v>
      </c>
    </row>
    <row r="1673" spans="1:18" x14ac:dyDescent="0.2">
      <c r="A1673" s="1" t="s">
        <v>187</v>
      </c>
      <c r="B1673" s="1" t="s">
        <v>10</v>
      </c>
      <c r="C1673" s="2">
        <v>41155</v>
      </c>
      <c r="D1673" s="1">
        <v>10</v>
      </c>
      <c r="E1673" s="1" t="s">
        <v>39</v>
      </c>
      <c r="I1673" s="1" t="s">
        <v>12</v>
      </c>
      <c r="J1673" s="1" t="s">
        <v>40</v>
      </c>
      <c r="K1673" s="1" t="s">
        <v>14</v>
      </c>
      <c r="L1673" s="1" t="s">
        <v>12</v>
      </c>
      <c r="M1673" s="1" t="s">
        <v>12</v>
      </c>
      <c r="N1673" s="1">
        <v>21.12</v>
      </c>
      <c r="O1673" s="1" t="s">
        <v>17</v>
      </c>
      <c r="P1673" s="1">
        <v>-0.03</v>
      </c>
      <c r="Q1673" s="1" t="s">
        <v>16</v>
      </c>
      <c r="R1673" s="1" t="str">
        <f>IF(N1673="","",VLOOKUP(N1673,Prior_levels,2,TRUE))</f>
        <v>L</v>
      </c>
    </row>
    <row r="1674" spans="1:18" x14ac:dyDescent="0.2">
      <c r="A1674" s="1" t="s">
        <v>187</v>
      </c>
      <c r="B1674" s="1" t="s">
        <v>10</v>
      </c>
      <c r="C1674" s="2">
        <v>41155</v>
      </c>
      <c r="D1674" s="1">
        <v>10</v>
      </c>
      <c r="E1674" s="1" t="s">
        <v>39</v>
      </c>
      <c r="I1674" s="1" t="s">
        <v>12</v>
      </c>
      <c r="J1674" s="1" t="s">
        <v>40</v>
      </c>
      <c r="K1674" s="1" t="s">
        <v>14</v>
      </c>
      <c r="L1674" s="1" t="s">
        <v>12</v>
      </c>
      <c r="M1674" s="1" t="s">
        <v>12</v>
      </c>
      <c r="N1674" s="1">
        <v>21.12</v>
      </c>
      <c r="O1674" s="1" t="s">
        <v>18</v>
      </c>
      <c r="P1674" s="1">
        <v>8</v>
      </c>
      <c r="Q1674" s="1" t="s">
        <v>16</v>
      </c>
      <c r="R1674" s="1" t="str">
        <f>IF(N1674="","",VLOOKUP(N1674,Prior_levels,2,TRUE))</f>
        <v>L</v>
      </c>
    </row>
    <row r="1675" spans="1:18" x14ac:dyDescent="0.2">
      <c r="A1675" s="1" t="s">
        <v>187</v>
      </c>
      <c r="B1675" s="1" t="s">
        <v>10</v>
      </c>
      <c r="C1675" s="2">
        <v>41155</v>
      </c>
      <c r="D1675" s="1">
        <v>10</v>
      </c>
      <c r="E1675" s="1" t="s">
        <v>39</v>
      </c>
      <c r="I1675" s="1" t="s">
        <v>12</v>
      </c>
      <c r="J1675" s="1" t="s">
        <v>40</v>
      </c>
      <c r="K1675" s="1" t="s">
        <v>14</v>
      </c>
      <c r="L1675" s="1" t="s">
        <v>12</v>
      </c>
      <c r="M1675" s="1" t="s">
        <v>12</v>
      </c>
      <c r="N1675" s="1">
        <v>21.12</v>
      </c>
      <c r="O1675" s="1" t="s">
        <v>19</v>
      </c>
      <c r="P1675" s="1">
        <v>4</v>
      </c>
      <c r="Q1675" s="1" t="s">
        <v>16</v>
      </c>
      <c r="R1675" s="1" t="str">
        <f>IF(N1675="","",VLOOKUP(N1675,Prior_levels,2,TRUE))</f>
        <v>L</v>
      </c>
    </row>
    <row r="1676" spans="1:18" x14ac:dyDescent="0.2">
      <c r="A1676" s="1" t="s">
        <v>187</v>
      </c>
      <c r="B1676" s="1" t="s">
        <v>10</v>
      </c>
      <c r="C1676" s="2">
        <v>41155</v>
      </c>
      <c r="D1676" s="1">
        <v>10</v>
      </c>
      <c r="E1676" s="1" t="s">
        <v>39</v>
      </c>
      <c r="I1676" s="1" t="s">
        <v>12</v>
      </c>
      <c r="J1676" s="1" t="s">
        <v>40</v>
      </c>
      <c r="K1676" s="1" t="s">
        <v>14</v>
      </c>
      <c r="L1676" s="1" t="s">
        <v>12</v>
      </c>
      <c r="M1676" s="1" t="s">
        <v>12</v>
      </c>
      <c r="N1676" s="1">
        <v>21.12</v>
      </c>
      <c r="O1676" s="1" t="s">
        <v>20</v>
      </c>
      <c r="P1676" s="1">
        <v>7.5</v>
      </c>
      <c r="Q1676" s="1" t="s">
        <v>16</v>
      </c>
      <c r="R1676" s="1" t="str">
        <f>IF(N1676="","",VLOOKUP(N1676,Prior_levels,2,TRUE))</f>
        <v>L</v>
      </c>
    </row>
    <row r="1677" spans="1:18" x14ac:dyDescent="0.2">
      <c r="A1677" s="1" t="s">
        <v>187</v>
      </c>
      <c r="B1677" s="1" t="s">
        <v>10</v>
      </c>
      <c r="C1677" s="2">
        <v>41155</v>
      </c>
      <c r="D1677" s="1">
        <v>10</v>
      </c>
      <c r="E1677" s="1" t="s">
        <v>39</v>
      </c>
      <c r="I1677" s="1" t="s">
        <v>12</v>
      </c>
      <c r="J1677" s="1" t="s">
        <v>40</v>
      </c>
      <c r="K1677" s="1" t="s">
        <v>14</v>
      </c>
      <c r="L1677" s="1" t="s">
        <v>12</v>
      </c>
      <c r="M1677" s="1" t="s">
        <v>12</v>
      </c>
      <c r="N1677" s="1">
        <v>21.12</v>
      </c>
      <c r="O1677" s="1" t="s">
        <v>21</v>
      </c>
      <c r="P1677" s="1">
        <v>8.5</v>
      </c>
      <c r="Q1677" s="1" t="s">
        <v>16</v>
      </c>
      <c r="R1677" s="1" t="str">
        <f>IF(N1677="","",VLOOKUP(N1677,Prior_levels,2,TRUE))</f>
        <v>L</v>
      </c>
    </row>
    <row r="1678" spans="1:18" x14ac:dyDescent="0.2">
      <c r="A1678" s="1" t="s">
        <v>187</v>
      </c>
      <c r="B1678" s="1" t="s">
        <v>10</v>
      </c>
      <c r="C1678" s="2">
        <v>41155</v>
      </c>
      <c r="D1678" s="1">
        <v>10</v>
      </c>
      <c r="E1678" s="1" t="s">
        <v>39</v>
      </c>
      <c r="I1678" s="1" t="s">
        <v>12</v>
      </c>
      <c r="J1678" s="1" t="s">
        <v>40</v>
      </c>
      <c r="K1678" s="1" t="s">
        <v>14</v>
      </c>
      <c r="L1678" s="1" t="s">
        <v>12</v>
      </c>
      <c r="M1678" s="1" t="s">
        <v>12</v>
      </c>
      <c r="N1678" s="1">
        <v>21.12</v>
      </c>
      <c r="O1678" s="1" t="s">
        <v>22</v>
      </c>
      <c r="P1678" s="1">
        <v>0.34</v>
      </c>
      <c r="Q1678" s="1" t="s">
        <v>16</v>
      </c>
      <c r="R1678" s="1" t="str">
        <f>IF(N1678="","",VLOOKUP(N1678,Prior_levels,2,TRUE))</f>
        <v>L</v>
      </c>
    </row>
    <row r="1679" spans="1:18" x14ac:dyDescent="0.2">
      <c r="A1679" s="1" t="s">
        <v>187</v>
      </c>
      <c r="B1679" s="1" t="s">
        <v>10</v>
      </c>
      <c r="C1679" s="2">
        <v>41155</v>
      </c>
      <c r="D1679" s="1">
        <v>10</v>
      </c>
      <c r="E1679" s="1" t="s">
        <v>39</v>
      </c>
      <c r="I1679" s="1" t="s">
        <v>12</v>
      </c>
      <c r="J1679" s="1" t="s">
        <v>40</v>
      </c>
      <c r="K1679" s="1" t="s">
        <v>14</v>
      </c>
      <c r="L1679" s="1" t="s">
        <v>12</v>
      </c>
      <c r="M1679" s="1" t="s">
        <v>12</v>
      </c>
      <c r="N1679" s="1">
        <v>21.12</v>
      </c>
      <c r="O1679" s="1" t="s">
        <v>23</v>
      </c>
      <c r="P1679" s="1">
        <v>-0.61</v>
      </c>
      <c r="Q1679" s="1" t="s">
        <v>16</v>
      </c>
      <c r="R1679" s="1" t="str">
        <f>IF(N1679="","",VLOOKUP(N1679,Prior_levels,2,TRUE))</f>
        <v>L</v>
      </c>
    </row>
    <row r="1680" spans="1:18" x14ac:dyDescent="0.2">
      <c r="A1680" s="1" t="s">
        <v>187</v>
      </c>
      <c r="B1680" s="1" t="s">
        <v>10</v>
      </c>
      <c r="C1680" s="2">
        <v>41155</v>
      </c>
      <c r="D1680" s="1">
        <v>10</v>
      </c>
      <c r="E1680" s="1" t="s">
        <v>39</v>
      </c>
      <c r="I1680" s="1" t="s">
        <v>12</v>
      </c>
      <c r="J1680" s="1" t="s">
        <v>40</v>
      </c>
      <c r="K1680" s="1" t="s">
        <v>14</v>
      </c>
      <c r="L1680" s="1" t="s">
        <v>12</v>
      </c>
      <c r="M1680" s="1" t="s">
        <v>12</v>
      </c>
      <c r="N1680" s="1">
        <v>21.12</v>
      </c>
      <c r="O1680" s="1" t="s">
        <v>24</v>
      </c>
      <c r="P1680" s="1">
        <v>2.99</v>
      </c>
      <c r="Q1680" s="1" t="s">
        <v>16</v>
      </c>
      <c r="R1680" s="1" t="str">
        <f>IF(N1680="","",VLOOKUP(N1680,Prior_levels,2,TRUE))</f>
        <v>L</v>
      </c>
    </row>
    <row r="1681" spans="1:18" x14ac:dyDescent="0.2">
      <c r="A1681" s="1" t="s">
        <v>187</v>
      </c>
      <c r="B1681" s="1" t="s">
        <v>10</v>
      </c>
      <c r="C1681" s="2">
        <v>41155</v>
      </c>
      <c r="D1681" s="1">
        <v>10</v>
      </c>
      <c r="E1681" s="1" t="s">
        <v>39</v>
      </c>
      <c r="I1681" s="1" t="s">
        <v>12</v>
      </c>
      <c r="J1681" s="1" t="s">
        <v>40</v>
      </c>
      <c r="K1681" s="1" t="s">
        <v>14</v>
      </c>
      <c r="L1681" s="1" t="s">
        <v>12</v>
      </c>
      <c r="M1681" s="1" t="s">
        <v>12</v>
      </c>
      <c r="N1681" s="1">
        <v>21.12</v>
      </c>
      <c r="O1681" s="1" t="s">
        <v>25</v>
      </c>
      <c r="P1681" s="1">
        <v>-2.7</v>
      </c>
      <c r="Q1681" s="1" t="s">
        <v>16</v>
      </c>
      <c r="R1681" s="1" t="str">
        <f>IF(N1681="","",VLOOKUP(N1681,Prior_levels,2,TRUE))</f>
        <v>L</v>
      </c>
    </row>
    <row r="1682" spans="1:18" x14ac:dyDescent="0.2">
      <c r="A1682" s="1" t="s">
        <v>187</v>
      </c>
      <c r="B1682" s="1" t="s">
        <v>10</v>
      </c>
      <c r="C1682" s="2">
        <v>41155</v>
      </c>
      <c r="D1682" s="1">
        <v>10</v>
      </c>
      <c r="E1682" s="1" t="s">
        <v>39</v>
      </c>
      <c r="I1682" s="1" t="s">
        <v>12</v>
      </c>
      <c r="J1682" s="1" t="s">
        <v>40</v>
      </c>
      <c r="K1682" s="1" t="s">
        <v>14</v>
      </c>
      <c r="L1682" s="1" t="s">
        <v>12</v>
      </c>
      <c r="M1682" s="1" t="s">
        <v>12</v>
      </c>
      <c r="N1682" s="1">
        <v>21.12</v>
      </c>
      <c r="O1682" s="1" t="s">
        <v>26</v>
      </c>
      <c r="P1682" s="1">
        <v>0</v>
      </c>
      <c r="Q1682" s="1" t="s">
        <v>16</v>
      </c>
      <c r="R1682" s="1" t="str">
        <f>IF(N1682="","",VLOOKUP(N1682,Prior_levels,2,TRUE))</f>
        <v>L</v>
      </c>
    </row>
    <row r="1683" spans="1:18" x14ac:dyDescent="0.2">
      <c r="A1683" s="1" t="s">
        <v>187</v>
      </c>
      <c r="B1683" s="1" t="s">
        <v>10</v>
      </c>
      <c r="C1683" s="2">
        <v>41155</v>
      </c>
      <c r="D1683" s="1">
        <v>10</v>
      </c>
      <c r="E1683" s="1" t="s">
        <v>39</v>
      </c>
      <c r="I1683" s="1" t="s">
        <v>12</v>
      </c>
      <c r="J1683" s="1" t="s">
        <v>40</v>
      </c>
      <c r="K1683" s="1" t="s">
        <v>14</v>
      </c>
      <c r="L1683" s="1" t="s">
        <v>12</v>
      </c>
      <c r="M1683" s="1" t="s">
        <v>12</v>
      </c>
      <c r="N1683" s="1">
        <v>21.12</v>
      </c>
      <c r="O1683" s="1" t="s">
        <v>27</v>
      </c>
      <c r="P1683" s="1" t="s">
        <v>28</v>
      </c>
      <c r="Q1683" s="1" t="s">
        <v>16</v>
      </c>
      <c r="R1683" s="1" t="str">
        <f>IF(N1683="","",VLOOKUP(N1683,Prior_levels,2,TRUE))</f>
        <v>L</v>
      </c>
    </row>
    <row r="1684" spans="1:18" x14ac:dyDescent="0.2">
      <c r="A1684" s="1" t="s">
        <v>187</v>
      </c>
      <c r="B1684" s="1" t="s">
        <v>10</v>
      </c>
      <c r="C1684" s="2">
        <v>41155</v>
      </c>
      <c r="D1684" s="1">
        <v>10</v>
      </c>
      <c r="E1684" s="1" t="s">
        <v>39</v>
      </c>
      <c r="I1684" s="1" t="s">
        <v>12</v>
      </c>
      <c r="J1684" s="1" t="s">
        <v>40</v>
      </c>
      <c r="K1684" s="1" t="s">
        <v>14</v>
      </c>
      <c r="L1684" s="1" t="s">
        <v>12</v>
      </c>
      <c r="M1684" s="1" t="s">
        <v>12</v>
      </c>
      <c r="N1684" s="1">
        <v>21.12</v>
      </c>
      <c r="O1684" s="1" t="s">
        <v>29</v>
      </c>
      <c r="P1684" s="1" t="s">
        <v>28</v>
      </c>
      <c r="Q1684" s="1" t="s">
        <v>16</v>
      </c>
      <c r="R1684" s="1" t="str">
        <f>IF(N1684="","",VLOOKUP(N1684,Prior_levels,2,TRUE))</f>
        <v>L</v>
      </c>
    </row>
    <row r="1685" spans="1:18" x14ac:dyDescent="0.2">
      <c r="A1685" s="1" t="s">
        <v>187</v>
      </c>
      <c r="B1685" s="1" t="s">
        <v>10</v>
      </c>
      <c r="C1685" s="2">
        <v>41155</v>
      </c>
      <c r="D1685" s="1">
        <v>10</v>
      </c>
      <c r="E1685" s="1" t="s">
        <v>39</v>
      </c>
      <c r="I1685" s="1" t="s">
        <v>12</v>
      </c>
      <c r="J1685" s="1" t="s">
        <v>40</v>
      </c>
      <c r="K1685" s="1" t="s">
        <v>14</v>
      </c>
      <c r="L1685" s="1" t="s">
        <v>12</v>
      </c>
      <c r="M1685" s="1" t="s">
        <v>12</v>
      </c>
      <c r="N1685" s="1">
        <v>21.12</v>
      </c>
      <c r="O1685" s="1" t="s">
        <v>30</v>
      </c>
      <c r="P1685" s="1" t="s">
        <v>28</v>
      </c>
      <c r="Q1685" s="1" t="s">
        <v>16</v>
      </c>
      <c r="R1685" s="1" t="str">
        <f>IF(N1685="","",VLOOKUP(N1685,Prior_levels,2,TRUE))</f>
        <v>L</v>
      </c>
    </row>
    <row r="1686" spans="1:18" x14ac:dyDescent="0.2">
      <c r="A1686" s="1" t="s">
        <v>187</v>
      </c>
      <c r="B1686" s="1" t="s">
        <v>10</v>
      </c>
      <c r="C1686" s="2">
        <v>41155</v>
      </c>
      <c r="D1686" s="1">
        <v>10</v>
      </c>
      <c r="E1686" s="1" t="s">
        <v>39</v>
      </c>
      <c r="I1686" s="1" t="s">
        <v>12</v>
      </c>
      <c r="J1686" s="1" t="s">
        <v>40</v>
      </c>
      <c r="K1686" s="1" t="s">
        <v>14</v>
      </c>
      <c r="L1686" s="1" t="s">
        <v>12</v>
      </c>
      <c r="M1686" s="1" t="s">
        <v>12</v>
      </c>
      <c r="N1686" s="1">
        <v>21.12</v>
      </c>
      <c r="O1686" s="1" t="s">
        <v>31</v>
      </c>
      <c r="P1686" s="1" t="s">
        <v>28</v>
      </c>
      <c r="Q1686" s="1" t="s">
        <v>16</v>
      </c>
      <c r="R1686" s="1" t="str">
        <f>IF(N1686="","",VLOOKUP(N1686,Prior_levels,2,TRUE))</f>
        <v>L</v>
      </c>
    </row>
    <row r="1687" spans="1:18" x14ac:dyDescent="0.2">
      <c r="A1687" s="1" t="s">
        <v>187</v>
      </c>
      <c r="B1687" s="1" t="s">
        <v>10</v>
      </c>
      <c r="C1687" s="2">
        <v>41155</v>
      </c>
      <c r="D1687" s="1">
        <v>10</v>
      </c>
      <c r="E1687" s="1" t="s">
        <v>39</v>
      </c>
      <c r="I1687" s="1" t="s">
        <v>12</v>
      </c>
      <c r="J1687" s="1" t="s">
        <v>40</v>
      </c>
      <c r="K1687" s="1" t="s">
        <v>14</v>
      </c>
      <c r="L1687" s="1" t="s">
        <v>12</v>
      </c>
      <c r="M1687" s="1" t="s">
        <v>12</v>
      </c>
      <c r="N1687" s="1">
        <v>21.12</v>
      </c>
      <c r="O1687" s="1" t="s">
        <v>32</v>
      </c>
      <c r="P1687" s="1" t="s">
        <v>28</v>
      </c>
      <c r="Q1687" s="1" t="s">
        <v>16</v>
      </c>
      <c r="R1687" s="1" t="str">
        <f>IF(N1687="","",VLOOKUP(N1687,Prior_levels,2,TRUE))</f>
        <v>L</v>
      </c>
    </row>
    <row r="1688" spans="1:18" x14ac:dyDescent="0.2">
      <c r="A1688" s="1" t="s">
        <v>188</v>
      </c>
      <c r="B1688" s="1" t="s">
        <v>10</v>
      </c>
      <c r="C1688" s="2">
        <v>41155</v>
      </c>
      <c r="D1688" s="1">
        <v>10</v>
      </c>
      <c r="E1688" s="1" t="s">
        <v>39</v>
      </c>
      <c r="I1688" s="1" t="s">
        <v>12</v>
      </c>
      <c r="J1688" s="1" t="s">
        <v>189</v>
      </c>
      <c r="K1688" s="1" t="s">
        <v>14</v>
      </c>
      <c r="L1688" s="1" t="s">
        <v>12</v>
      </c>
      <c r="M1688" s="1" t="s">
        <v>12</v>
      </c>
      <c r="N1688" s="1">
        <v>27.12</v>
      </c>
      <c r="O1688" s="1" t="s">
        <v>15</v>
      </c>
      <c r="P1688" s="1">
        <v>4.5</v>
      </c>
      <c r="Q1688" s="1" t="s">
        <v>16</v>
      </c>
      <c r="R1688" s="1" t="str">
        <f>IF(N1688="","",VLOOKUP(N1688,Prior_levels,2,TRUE))</f>
        <v>M</v>
      </c>
    </row>
    <row r="1689" spans="1:18" x14ac:dyDescent="0.2">
      <c r="A1689" s="1" t="s">
        <v>188</v>
      </c>
      <c r="B1689" s="1" t="s">
        <v>10</v>
      </c>
      <c r="C1689" s="2">
        <v>41155</v>
      </c>
      <c r="D1689" s="1">
        <v>10</v>
      </c>
      <c r="E1689" s="1" t="s">
        <v>39</v>
      </c>
      <c r="I1689" s="1" t="s">
        <v>12</v>
      </c>
      <c r="J1689" s="1" t="s">
        <v>189</v>
      </c>
      <c r="K1689" s="1" t="s">
        <v>14</v>
      </c>
      <c r="L1689" s="1" t="s">
        <v>12</v>
      </c>
      <c r="M1689" s="1" t="s">
        <v>12</v>
      </c>
      <c r="N1689" s="1">
        <v>27.12</v>
      </c>
      <c r="O1689" s="1" t="s">
        <v>17</v>
      </c>
      <c r="P1689" s="1">
        <v>-0.05</v>
      </c>
      <c r="Q1689" s="1" t="s">
        <v>16</v>
      </c>
      <c r="R1689" s="1" t="str">
        <f>IF(N1689="","",VLOOKUP(N1689,Prior_levels,2,TRUE))</f>
        <v>M</v>
      </c>
    </row>
    <row r="1690" spans="1:18" x14ac:dyDescent="0.2">
      <c r="A1690" s="1" t="s">
        <v>188</v>
      </c>
      <c r="B1690" s="1" t="s">
        <v>10</v>
      </c>
      <c r="C1690" s="2">
        <v>41155</v>
      </c>
      <c r="D1690" s="1">
        <v>10</v>
      </c>
      <c r="E1690" s="1" t="s">
        <v>39</v>
      </c>
      <c r="I1690" s="1" t="s">
        <v>12</v>
      </c>
      <c r="J1690" s="1" t="s">
        <v>189</v>
      </c>
      <c r="K1690" s="1" t="s">
        <v>14</v>
      </c>
      <c r="L1690" s="1" t="s">
        <v>12</v>
      </c>
      <c r="M1690" s="1" t="s">
        <v>12</v>
      </c>
      <c r="N1690" s="1">
        <v>27.12</v>
      </c>
      <c r="O1690" s="1" t="s">
        <v>18</v>
      </c>
      <c r="P1690" s="1">
        <v>10</v>
      </c>
      <c r="Q1690" s="1" t="s">
        <v>16</v>
      </c>
      <c r="R1690" s="1" t="str">
        <f>IF(N1690="","",VLOOKUP(N1690,Prior_levels,2,TRUE))</f>
        <v>M</v>
      </c>
    </row>
    <row r="1691" spans="1:18" x14ac:dyDescent="0.2">
      <c r="A1691" s="1" t="s">
        <v>188</v>
      </c>
      <c r="B1691" s="1" t="s">
        <v>10</v>
      </c>
      <c r="C1691" s="2">
        <v>41155</v>
      </c>
      <c r="D1691" s="1">
        <v>10</v>
      </c>
      <c r="E1691" s="1" t="s">
        <v>39</v>
      </c>
      <c r="I1691" s="1" t="s">
        <v>12</v>
      </c>
      <c r="J1691" s="1" t="s">
        <v>189</v>
      </c>
      <c r="K1691" s="1" t="s">
        <v>14</v>
      </c>
      <c r="L1691" s="1" t="s">
        <v>12</v>
      </c>
      <c r="M1691" s="1" t="s">
        <v>12</v>
      </c>
      <c r="N1691" s="1">
        <v>27.12</v>
      </c>
      <c r="O1691" s="1" t="s">
        <v>19</v>
      </c>
      <c r="P1691" s="1">
        <v>10</v>
      </c>
      <c r="Q1691" s="1" t="s">
        <v>16</v>
      </c>
      <c r="R1691" s="1" t="str">
        <f>IF(N1691="","",VLOOKUP(N1691,Prior_levels,2,TRUE))</f>
        <v>M</v>
      </c>
    </row>
    <row r="1692" spans="1:18" x14ac:dyDescent="0.2">
      <c r="A1692" s="1" t="s">
        <v>188</v>
      </c>
      <c r="B1692" s="1" t="s">
        <v>10</v>
      </c>
      <c r="C1692" s="2">
        <v>41155</v>
      </c>
      <c r="D1692" s="1">
        <v>10</v>
      </c>
      <c r="E1692" s="1" t="s">
        <v>39</v>
      </c>
      <c r="I1692" s="1" t="s">
        <v>12</v>
      </c>
      <c r="J1692" s="1" t="s">
        <v>189</v>
      </c>
      <c r="K1692" s="1" t="s">
        <v>14</v>
      </c>
      <c r="L1692" s="1" t="s">
        <v>12</v>
      </c>
      <c r="M1692" s="1" t="s">
        <v>12</v>
      </c>
      <c r="N1692" s="1">
        <v>27.12</v>
      </c>
      <c r="O1692" s="1" t="s">
        <v>20</v>
      </c>
      <c r="P1692" s="1">
        <v>12</v>
      </c>
      <c r="Q1692" s="1" t="s">
        <v>16</v>
      </c>
      <c r="R1692" s="1" t="str">
        <f>IF(N1692="","",VLOOKUP(N1692,Prior_levels,2,TRUE))</f>
        <v>M</v>
      </c>
    </row>
    <row r="1693" spans="1:18" x14ac:dyDescent="0.2">
      <c r="A1693" s="1" t="s">
        <v>188</v>
      </c>
      <c r="B1693" s="1" t="s">
        <v>10</v>
      </c>
      <c r="C1693" s="2">
        <v>41155</v>
      </c>
      <c r="D1693" s="1">
        <v>10</v>
      </c>
      <c r="E1693" s="1" t="s">
        <v>39</v>
      </c>
      <c r="I1693" s="1" t="s">
        <v>12</v>
      </c>
      <c r="J1693" s="1" t="s">
        <v>189</v>
      </c>
      <c r="K1693" s="1" t="s">
        <v>14</v>
      </c>
      <c r="L1693" s="1" t="s">
        <v>12</v>
      </c>
      <c r="M1693" s="1" t="s">
        <v>12</v>
      </c>
      <c r="N1693" s="1">
        <v>27.12</v>
      </c>
      <c r="O1693" s="1" t="s">
        <v>21</v>
      </c>
      <c r="P1693" s="1">
        <v>13</v>
      </c>
      <c r="Q1693" s="1" t="s">
        <v>16</v>
      </c>
      <c r="R1693" s="1" t="str">
        <f>IF(N1693="","",VLOOKUP(N1693,Prior_levels,2,TRUE))</f>
        <v>M</v>
      </c>
    </row>
    <row r="1694" spans="1:18" x14ac:dyDescent="0.2">
      <c r="A1694" s="1" t="s">
        <v>188</v>
      </c>
      <c r="B1694" s="1" t="s">
        <v>10</v>
      </c>
      <c r="C1694" s="2">
        <v>41155</v>
      </c>
      <c r="D1694" s="1">
        <v>10</v>
      </c>
      <c r="E1694" s="1" t="s">
        <v>39</v>
      </c>
      <c r="I1694" s="1" t="s">
        <v>12</v>
      </c>
      <c r="J1694" s="1" t="s">
        <v>189</v>
      </c>
      <c r="K1694" s="1" t="s">
        <v>14</v>
      </c>
      <c r="L1694" s="1" t="s">
        <v>12</v>
      </c>
      <c r="M1694" s="1" t="s">
        <v>12</v>
      </c>
      <c r="N1694" s="1">
        <v>27.12</v>
      </c>
      <c r="O1694" s="1" t="s">
        <v>22</v>
      </c>
      <c r="P1694" s="1">
        <v>-0.05</v>
      </c>
      <c r="Q1694" s="1" t="s">
        <v>16</v>
      </c>
      <c r="R1694" s="1" t="str">
        <f>IF(N1694="","",VLOOKUP(N1694,Prior_levels,2,TRUE))</f>
        <v>M</v>
      </c>
    </row>
    <row r="1695" spans="1:18" x14ac:dyDescent="0.2">
      <c r="A1695" s="1" t="s">
        <v>188</v>
      </c>
      <c r="B1695" s="1" t="s">
        <v>10</v>
      </c>
      <c r="C1695" s="2">
        <v>41155</v>
      </c>
      <c r="D1695" s="1">
        <v>10</v>
      </c>
      <c r="E1695" s="1" t="s">
        <v>39</v>
      </c>
      <c r="I1695" s="1" t="s">
        <v>12</v>
      </c>
      <c r="J1695" s="1" t="s">
        <v>189</v>
      </c>
      <c r="K1695" s="1" t="s">
        <v>14</v>
      </c>
      <c r="L1695" s="1" t="s">
        <v>12</v>
      </c>
      <c r="M1695" s="1" t="s">
        <v>12</v>
      </c>
      <c r="N1695" s="1">
        <v>27.12</v>
      </c>
      <c r="O1695" s="1" t="s">
        <v>23</v>
      </c>
      <c r="P1695" s="1">
        <v>0.36</v>
      </c>
      <c r="Q1695" s="1" t="s">
        <v>16</v>
      </c>
      <c r="R1695" s="1" t="str">
        <f>IF(N1695="","",VLOOKUP(N1695,Prior_levels,2,TRUE))</f>
        <v>M</v>
      </c>
    </row>
    <row r="1696" spans="1:18" x14ac:dyDescent="0.2">
      <c r="A1696" s="1" t="s">
        <v>188</v>
      </c>
      <c r="B1696" s="1" t="s">
        <v>10</v>
      </c>
      <c r="C1696" s="2">
        <v>41155</v>
      </c>
      <c r="D1696" s="1">
        <v>10</v>
      </c>
      <c r="E1696" s="1" t="s">
        <v>39</v>
      </c>
      <c r="I1696" s="1" t="s">
        <v>12</v>
      </c>
      <c r="J1696" s="1" t="s">
        <v>189</v>
      </c>
      <c r="K1696" s="1" t="s">
        <v>14</v>
      </c>
      <c r="L1696" s="1" t="s">
        <v>12</v>
      </c>
      <c r="M1696" s="1" t="s">
        <v>12</v>
      </c>
      <c r="N1696" s="1">
        <v>27.12</v>
      </c>
      <c r="O1696" s="1" t="s">
        <v>24</v>
      </c>
      <c r="P1696" s="1">
        <v>0.75</v>
      </c>
      <c r="Q1696" s="1" t="s">
        <v>16</v>
      </c>
      <c r="R1696" s="1" t="str">
        <f>IF(N1696="","",VLOOKUP(N1696,Prior_levels,2,TRUE))</f>
        <v>M</v>
      </c>
    </row>
    <row r="1697" spans="1:18" x14ac:dyDescent="0.2">
      <c r="A1697" s="1" t="s">
        <v>188</v>
      </c>
      <c r="B1697" s="1" t="s">
        <v>10</v>
      </c>
      <c r="C1697" s="2">
        <v>41155</v>
      </c>
      <c r="D1697" s="1">
        <v>10</v>
      </c>
      <c r="E1697" s="1" t="s">
        <v>39</v>
      </c>
      <c r="I1697" s="1" t="s">
        <v>12</v>
      </c>
      <c r="J1697" s="1" t="s">
        <v>189</v>
      </c>
      <c r="K1697" s="1" t="s">
        <v>14</v>
      </c>
      <c r="L1697" s="1" t="s">
        <v>12</v>
      </c>
      <c r="M1697" s="1" t="s">
        <v>12</v>
      </c>
      <c r="N1697" s="1">
        <v>27.12</v>
      </c>
      <c r="O1697" s="1" t="s">
        <v>25</v>
      </c>
      <c r="P1697" s="1">
        <v>-1.89</v>
      </c>
      <c r="Q1697" s="1" t="s">
        <v>16</v>
      </c>
      <c r="R1697" s="1" t="str">
        <f>IF(N1697="","",VLOOKUP(N1697,Prior_levels,2,TRUE))</f>
        <v>M</v>
      </c>
    </row>
    <row r="1698" spans="1:18" x14ac:dyDescent="0.2">
      <c r="A1698" s="1" t="s">
        <v>188</v>
      </c>
      <c r="B1698" s="1" t="s">
        <v>10</v>
      </c>
      <c r="C1698" s="2">
        <v>41155</v>
      </c>
      <c r="D1698" s="1">
        <v>10</v>
      </c>
      <c r="E1698" s="1" t="s">
        <v>39</v>
      </c>
      <c r="I1698" s="1" t="s">
        <v>12</v>
      </c>
      <c r="J1698" s="1" t="s">
        <v>189</v>
      </c>
      <c r="K1698" s="1" t="s">
        <v>14</v>
      </c>
      <c r="L1698" s="1" t="s">
        <v>12</v>
      </c>
      <c r="M1698" s="1" t="s">
        <v>12</v>
      </c>
      <c r="N1698" s="1">
        <v>27.12</v>
      </c>
      <c r="O1698" s="1" t="s">
        <v>26</v>
      </c>
      <c r="P1698" s="1">
        <v>10</v>
      </c>
      <c r="Q1698" s="1" t="s">
        <v>16</v>
      </c>
      <c r="R1698" s="1" t="str">
        <f>IF(N1698="","",VLOOKUP(N1698,Prior_levels,2,TRUE))</f>
        <v>M</v>
      </c>
    </row>
    <row r="1699" spans="1:18" x14ac:dyDescent="0.2">
      <c r="A1699" s="1" t="s">
        <v>188</v>
      </c>
      <c r="B1699" s="1" t="s">
        <v>10</v>
      </c>
      <c r="C1699" s="2">
        <v>41155</v>
      </c>
      <c r="D1699" s="1">
        <v>10</v>
      </c>
      <c r="E1699" s="1" t="s">
        <v>39</v>
      </c>
      <c r="I1699" s="1" t="s">
        <v>12</v>
      </c>
      <c r="J1699" s="1" t="s">
        <v>189</v>
      </c>
      <c r="K1699" s="1" t="s">
        <v>14</v>
      </c>
      <c r="L1699" s="1" t="s">
        <v>12</v>
      </c>
      <c r="M1699" s="1" t="s">
        <v>12</v>
      </c>
      <c r="N1699" s="1">
        <v>27.12</v>
      </c>
      <c r="O1699" s="1" t="s">
        <v>32</v>
      </c>
      <c r="P1699" s="1" t="s">
        <v>37</v>
      </c>
      <c r="Q1699" s="1" t="s">
        <v>16</v>
      </c>
      <c r="R1699" s="1" t="str">
        <f>IF(N1699="","",VLOOKUP(N1699,Prior_levels,2,TRUE))</f>
        <v>M</v>
      </c>
    </row>
    <row r="1700" spans="1:18" x14ac:dyDescent="0.2">
      <c r="A1700" s="1" t="s">
        <v>188</v>
      </c>
      <c r="B1700" s="1" t="s">
        <v>10</v>
      </c>
      <c r="C1700" s="2">
        <v>41155</v>
      </c>
      <c r="D1700" s="1">
        <v>10</v>
      </c>
      <c r="E1700" s="1" t="s">
        <v>39</v>
      </c>
      <c r="I1700" s="1" t="s">
        <v>12</v>
      </c>
      <c r="J1700" s="1" t="s">
        <v>189</v>
      </c>
      <c r="K1700" s="1" t="s">
        <v>14</v>
      </c>
      <c r="L1700" s="1" t="s">
        <v>12</v>
      </c>
      <c r="M1700" s="1" t="s">
        <v>12</v>
      </c>
      <c r="N1700" s="1">
        <v>27.12</v>
      </c>
      <c r="O1700" s="1" t="s">
        <v>27</v>
      </c>
      <c r="P1700" s="1" t="s">
        <v>37</v>
      </c>
      <c r="Q1700" s="1" t="s">
        <v>16</v>
      </c>
      <c r="R1700" s="1" t="str">
        <f>IF(N1700="","",VLOOKUP(N1700,Prior_levels,2,TRUE))</f>
        <v>M</v>
      </c>
    </row>
    <row r="1701" spans="1:18" x14ac:dyDescent="0.2">
      <c r="A1701" s="1" t="s">
        <v>188</v>
      </c>
      <c r="B1701" s="1" t="s">
        <v>10</v>
      </c>
      <c r="C1701" s="2">
        <v>41155</v>
      </c>
      <c r="D1701" s="1">
        <v>10</v>
      </c>
      <c r="E1701" s="1" t="s">
        <v>39</v>
      </c>
      <c r="I1701" s="1" t="s">
        <v>12</v>
      </c>
      <c r="J1701" s="1" t="s">
        <v>189</v>
      </c>
      <c r="K1701" s="1" t="s">
        <v>14</v>
      </c>
      <c r="L1701" s="1" t="s">
        <v>12</v>
      </c>
      <c r="M1701" s="1" t="s">
        <v>12</v>
      </c>
      <c r="N1701" s="1">
        <v>27.12</v>
      </c>
      <c r="O1701" s="1" t="s">
        <v>29</v>
      </c>
      <c r="P1701" s="1" t="s">
        <v>37</v>
      </c>
      <c r="Q1701" s="1" t="s">
        <v>16</v>
      </c>
      <c r="R1701" s="1" t="str">
        <f>IF(N1701="","",VLOOKUP(N1701,Prior_levels,2,TRUE))</f>
        <v>M</v>
      </c>
    </row>
    <row r="1702" spans="1:18" x14ac:dyDescent="0.2">
      <c r="A1702" s="1" t="s">
        <v>188</v>
      </c>
      <c r="B1702" s="1" t="s">
        <v>10</v>
      </c>
      <c r="C1702" s="2">
        <v>41155</v>
      </c>
      <c r="D1702" s="1">
        <v>10</v>
      </c>
      <c r="E1702" s="1" t="s">
        <v>39</v>
      </c>
      <c r="I1702" s="1" t="s">
        <v>12</v>
      </c>
      <c r="J1702" s="1" t="s">
        <v>189</v>
      </c>
      <c r="K1702" s="1" t="s">
        <v>14</v>
      </c>
      <c r="L1702" s="1" t="s">
        <v>12</v>
      </c>
      <c r="M1702" s="1" t="s">
        <v>12</v>
      </c>
      <c r="N1702" s="1">
        <v>27.12</v>
      </c>
      <c r="O1702" s="1" t="s">
        <v>30</v>
      </c>
      <c r="P1702" s="1" t="s">
        <v>37</v>
      </c>
      <c r="Q1702" s="1" t="s">
        <v>16</v>
      </c>
      <c r="R1702" s="1" t="str">
        <f>IF(N1702="","",VLOOKUP(N1702,Prior_levels,2,TRUE))</f>
        <v>M</v>
      </c>
    </row>
    <row r="1703" spans="1:18" x14ac:dyDescent="0.2">
      <c r="A1703" s="1" t="s">
        <v>188</v>
      </c>
      <c r="B1703" s="1" t="s">
        <v>10</v>
      </c>
      <c r="C1703" s="2">
        <v>41155</v>
      </c>
      <c r="D1703" s="1">
        <v>10</v>
      </c>
      <c r="E1703" s="1" t="s">
        <v>39</v>
      </c>
      <c r="I1703" s="1" t="s">
        <v>12</v>
      </c>
      <c r="J1703" s="1" t="s">
        <v>189</v>
      </c>
      <c r="K1703" s="1" t="s">
        <v>14</v>
      </c>
      <c r="L1703" s="1" t="s">
        <v>12</v>
      </c>
      <c r="M1703" s="1" t="s">
        <v>12</v>
      </c>
      <c r="N1703" s="1">
        <v>27.12</v>
      </c>
      <c r="O1703" s="1" t="s">
        <v>31</v>
      </c>
      <c r="P1703" s="1" t="s">
        <v>37</v>
      </c>
      <c r="Q1703" s="1" t="s">
        <v>16</v>
      </c>
      <c r="R1703" s="1" t="str">
        <f>IF(N1703="","",VLOOKUP(N1703,Prior_levels,2,TRUE))</f>
        <v>M</v>
      </c>
    </row>
    <row r="1704" spans="1:18" x14ac:dyDescent="0.2">
      <c r="A1704" s="1" t="s">
        <v>190</v>
      </c>
      <c r="B1704" s="1" t="s">
        <v>10</v>
      </c>
      <c r="C1704" s="2">
        <v>41155</v>
      </c>
      <c r="D1704" s="1">
        <v>10</v>
      </c>
      <c r="E1704" s="1" t="s">
        <v>39</v>
      </c>
      <c r="I1704" s="1" t="s">
        <v>12</v>
      </c>
      <c r="J1704" s="1" t="s">
        <v>177</v>
      </c>
      <c r="K1704" s="1" t="s">
        <v>14</v>
      </c>
      <c r="L1704" s="1" t="s">
        <v>12</v>
      </c>
      <c r="M1704" s="1" t="s">
        <v>12</v>
      </c>
      <c r="N1704" s="1">
        <v>33.18</v>
      </c>
      <c r="O1704" s="1" t="s">
        <v>15</v>
      </c>
      <c r="P1704" s="1">
        <v>6.5</v>
      </c>
      <c r="Q1704" s="1" t="s">
        <v>16</v>
      </c>
      <c r="R1704" s="1" t="str">
        <f>IF(N1704="","",VLOOKUP(N1704,Prior_levels,2,TRUE))</f>
        <v>H</v>
      </c>
    </row>
    <row r="1705" spans="1:18" x14ac:dyDescent="0.2">
      <c r="A1705" s="1" t="s">
        <v>190</v>
      </c>
      <c r="B1705" s="1" t="s">
        <v>10</v>
      </c>
      <c r="C1705" s="2">
        <v>41155</v>
      </c>
      <c r="D1705" s="1">
        <v>10</v>
      </c>
      <c r="E1705" s="1" t="s">
        <v>39</v>
      </c>
      <c r="I1705" s="1" t="s">
        <v>12</v>
      </c>
      <c r="J1705" s="1" t="s">
        <v>177</v>
      </c>
      <c r="K1705" s="1" t="s">
        <v>14</v>
      </c>
      <c r="L1705" s="1" t="s">
        <v>12</v>
      </c>
      <c r="M1705" s="1" t="s">
        <v>12</v>
      </c>
      <c r="N1705" s="1">
        <v>33.18</v>
      </c>
      <c r="O1705" s="1" t="s">
        <v>17</v>
      </c>
      <c r="P1705" s="1">
        <v>-0.05</v>
      </c>
      <c r="Q1705" s="1" t="s">
        <v>16</v>
      </c>
      <c r="R1705" s="1" t="str">
        <f>IF(N1705="","",VLOOKUP(N1705,Prior_levels,2,TRUE))</f>
        <v>H</v>
      </c>
    </row>
    <row r="1706" spans="1:18" x14ac:dyDescent="0.2">
      <c r="A1706" s="1" t="s">
        <v>190</v>
      </c>
      <c r="B1706" s="1" t="s">
        <v>10</v>
      </c>
      <c r="C1706" s="2">
        <v>41155</v>
      </c>
      <c r="D1706" s="1">
        <v>10</v>
      </c>
      <c r="E1706" s="1" t="s">
        <v>39</v>
      </c>
      <c r="I1706" s="1" t="s">
        <v>12</v>
      </c>
      <c r="J1706" s="1" t="s">
        <v>177</v>
      </c>
      <c r="K1706" s="1" t="s">
        <v>14</v>
      </c>
      <c r="L1706" s="1" t="s">
        <v>12</v>
      </c>
      <c r="M1706" s="1" t="s">
        <v>12</v>
      </c>
      <c r="N1706" s="1">
        <v>33.18</v>
      </c>
      <c r="O1706" s="1" t="s">
        <v>18</v>
      </c>
      <c r="P1706" s="1">
        <v>14</v>
      </c>
      <c r="Q1706" s="1" t="s">
        <v>16</v>
      </c>
      <c r="R1706" s="1" t="str">
        <f>IF(N1706="","",VLOOKUP(N1706,Prior_levels,2,TRUE))</f>
        <v>H</v>
      </c>
    </row>
    <row r="1707" spans="1:18" x14ac:dyDescent="0.2">
      <c r="A1707" s="1" t="s">
        <v>190</v>
      </c>
      <c r="B1707" s="1" t="s">
        <v>10</v>
      </c>
      <c r="C1707" s="2">
        <v>41155</v>
      </c>
      <c r="D1707" s="1">
        <v>10</v>
      </c>
      <c r="E1707" s="1" t="s">
        <v>39</v>
      </c>
      <c r="I1707" s="1" t="s">
        <v>12</v>
      </c>
      <c r="J1707" s="1" t="s">
        <v>177</v>
      </c>
      <c r="K1707" s="1" t="s">
        <v>14</v>
      </c>
      <c r="L1707" s="1" t="s">
        <v>12</v>
      </c>
      <c r="M1707" s="1" t="s">
        <v>12</v>
      </c>
      <c r="N1707" s="1">
        <v>33.18</v>
      </c>
      <c r="O1707" s="1" t="s">
        <v>19</v>
      </c>
      <c r="P1707" s="1">
        <v>12</v>
      </c>
      <c r="Q1707" s="1" t="s">
        <v>16</v>
      </c>
      <c r="R1707" s="1" t="str">
        <f>IF(N1707="","",VLOOKUP(N1707,Prior_levels,2,TRUE))</f>
        <v>H</v>
      </c>
    </row>
    <row r="1708" spans="1:18" x14ac:dyDescent="0.2">
      <c r="A1708" s="1" t="s">
        <v>190</v>
      </c>
      <c r="B1708" s="1" t="s">
        <v>10</v>
      </c>
      <c r="C1708" s="2">
        <v>41155</v>
      </c>
      <c r="D1708" s="1">
        <v>10</v>
      </c>
      <c r="E1708" s="1" t="s">
        <v>39</v>
      </c>
      <c r="I1708" s="1" t="s">
        <v>12</v>
      </c>
      <c r="J1708" s="1" t="s">
        <v>177</v>
      </c>
      <c r="K1708" s="1" t="s">
        <v>14</v>
      </c>
      <c r="L1708" s="1" t="s">
        <v>12</v>
      </c>
      <c r="M1708" s="1" t="s">
        <v>12</v>
      </c>
      <c r="N1708" s="1">
        <v>33.18</v>
      </c>
      <c r="O1708" s="1" t="s">
        <v>20</v>
      </c>
      <c r="P1708" s="1">
        <v>19.5</v>
      </c>
      <c r="Q1708" s="1" t="s">
        <v>16</v>
      </c>
      <c r="R1708" s="1" t="str">
        <f>IF(N1708="","",VLOOKUP(N1708,Prior_levels,2,TRUE))</f>
        <v>H</v>
      </c>
    </row>
    <row r="1709" spans="1:18" x14ac:dyDescent="0.2">
      <c r="A1709" s="1" t="s">
        <v>190</v>
      </c>
      <c r="B1709" s="1" t="s">
        <v>10</v>
      </c>
      <c r="C1709" s="2">
        <v>41155</v>
      </c>
      <c r="D1709" s="1">
        <v>10</v>
      </c>
      <c r="E1709" s="1" t="s">
        <v>39</v>
      </c>
      <c r="I1709" s="1" t="s">
        <v>12</v>
      </c>
      <c r="J1709" s="1" t="s">
        <v>177</v>
      </c>
      <c r="K1709" s="1" t="s">
        <v>14</v>
      </c>
      <c r="L1709" s="1" t="s">
        <v>12</v>
      </c>
      <c r="M1709" s="1" t="s">
        <v>12</v>
      </c>
      <c r="N1709" s="1">
        <v>33.18</v>
      </c>
      <c r="O1709" s="1" t="s">
        <v>21</v>
      </c>
      <c r="P1709" s="1">
        <v>19.5</v>
      </c>
      <c r="Q1709" s="1" t="s">
        <v>16</v>
      </c>
      <c r="R1709" s="1" t="str">
        <f>IF(N1709="","",VLOOKUP(N1709,Prior_levels,2,TRUE))</f>
        <v>H</v>
      </c>
    </row>
    <row r="1710" spans="1:18" x14ac:dyDescent="0.2">
      <c r="A1710" s="1" t="s">
        <v>190</v>
      </c>
      <c r="B1710" s="1" t="s">
        <v>10</v>
      </c>
      <c r="C1710" s="2">
        <v>41155</v>
      </c>
      <c r="D1710" s="1">
        <v>10</v>
      </c>
      <c r="E1710" s="1" t="s">
        <v>39</v>
      </c>
      <c r="I1710" s="1" t="s">
        <v>12</v>
      </c>
      <c r="J1710" s="1" t="s">
        <v>177</v>
      </c>
      <c r="K1710" s="1" t="s">
        <v>14</v>
      </c>
      <c r="L1710" s="1" t="s">
        <v>12</v>
      </c>
      <c r="M1710" s="1" t="s">
        <v>12</v>
      </c>
      <c r="N1710" s="1">
        <v>33.18</v>
      </c>
      <c r="O1710" s="1" t="s">
        <v>22</v>
      </c>
      <c r="P1710" s="1">
        <v>0.36</v>
      </c>
      <c r="Q1710" s="1" t="s">
        <v>16</v>
      </c>
      <c r="R1710" s="1" t="str">
        <f>IF(N1710="","",VLOOKUP(N1710,Prior_levels,2,TRUE))</f>
        <v>H</v>
      </c>
    </row>
    <row r="1711" spans="1:18" x14ac:dyDescent="0.2">
      <c r="A1711" s="1" t="s">
        <v>190</v>
      </c>
      <c r="B1711" s="1" t="s">
        <v>10</v>
      </c>
      <c r="C1711" s="2">
        <v>41155</v>
      </c>
      <c r="D1711" s="1">
        <v>10</v>
      </c>
      <c r="E1711" s="1" t="s">
        <v>39</v>
      </c>
      <c r="I1711" s="1" t="s">
        <v>12</v>
      </c>
      <c r="J1711" s="1" t="s">
        <v>177</v>
      </c>
      <c r="K1711" s="1" t="s">
        <v>14</v>
      </c>
      <c r="L1711" s="1" t="s">
        <v>12</v>
      </c>
      <c r="M1711" s="1" t="s">
        <v>12</v>
      </c>
      <c r="N1711" s="1">
        <v>33.18</v>
      </c>
      <c r="O1711" s="1" t="s">
        <v>23</v>
      </c>
      <c r="P1711" s="1">
        <v>-0.66</v>
      </c>
      <c r="Q1711" s="1" t="s">
        <v>16</v>
      </c>
      <c r="R1711" s="1" t="str">
        <f>IF(N1711="","",VLOOKUP(N1711,Prior_levels,2,TRUE))</f>
        <v>H</v>
      </c>
    </row>
    <row r="1712" spans="1:18" x14ac:dyDescent="0.2">
      <c r="A1712" s="1" t="s">
        <v>190</v>
      </c>
      <c r="B1712" s="1" t="s">
        <v>10</v>
      </c>
      <c r="C1712" s="2">
        <v>41155</v>
      </c>
      <c r="D1712" s="1">
        <v>10</v>
      </c>
      <c r="E1712" s="1" t="s">
        <v>39</v>
      </c>
      <c r="I1712" s="1" t="s">
        <v>12</v>
      </c>
      <c r="J1712" s="1" t="s">
        <v>177</v>
      </c>
      <c r="K1712" s="1" t="s">
        <v>14</v>
      </c>
      <c r="L1712" s="1" t="s">
        <v>12</v>
      </c>
      <c r="M1712" s="1" t="s">
        <v>12</v>
      </c>
      <c r="N1712" s="1">
        <v>33.18</v>
      </c>
      <c r="O1712" s="1" t="s">
        <v>25</v>
      </c>
      <c r="P1712" s="1">
        <v>-0.12</v>
      </c>
      <c r="Q1712" s="1" t="s">
        <v>16</v>
      </c>
      <c r="R1712" s="1" t="str">
        <f>IF(N1712="","",VLOOKUP(N1712,Prior_levels,2,TRUE))</f>
        <v>H</v>
      </c>
    </row>
    <row r="1713" spans="1:18" x14ac:dyDescent="0.2">
      <c r="A1713" s="1" t="s">
        <v>190</v>
      </c>
      <c r="B1713" s="1" t="s">
        <v>10</v>
      </c>
      <c r="C1713" s="2">
        <v>41155</v>
      </c>
      <c r="D1713" s="1">
        <v>10</v>
      </c>
      <c r="E1713" s="1" t="s">
        <v>39</v>
      </c>
      <c r="I1713" s="1" t="s">
        <v>12</v>
      </c>
      <c r="J1713" s="1" t="s">
        <v>177</v>
      </c>
      <c r="K1713" s="1" t="s">
        <v>14</v>
      </c>
      <c r="L1713" s="1" t="s">
        <v>12</v>
      </c>
      <c r="M1713" s="1" t="s">
        <v>12</v>
      </c>
      <c r="N1713" s="1">
        <v>33.18</v>
      </c>
      <c r="O1713" s="1" t="s">
        <v>26</v>
      </c>
      <c r="P1713" s="1">
        <v>9</v>
      </c>
      <c r="Q1713" s="1" t="s">
        <v>16</v>
      </c>
      <c r="R1713" s="1" t="str">
        <f>IF(N1713="","",VLOOKUP(N1713,Prior_levels,2,TRUE))</f>
        <v>H</v>
      </c>
    </row>
    <row r="1714" spans="1:18" x14ac:dyDescent="0.2">
      <c r="A1714" s="1" t="s">
        <v>190</v>
      </c>
      <c r="B1714" s="1" t="s">
        <v>10</v>
      </c>
      <c r="C1714" s="2">
        <v>41155</v>
      </c>
      <c r="D1714" s="1">
        <v>10</v>
      </c>
      <c r="E1714" s="1" t="s">
        <v>39</v>
      </c>
      <c r="I1714" s="1" t="s">
        <v>12</v>
      </c>
      <c r="J1714" s="1" t="s">
        <v>177</v>
      </c>
      <c r="K1714" s="1" t="s">
        <v>14</v>
      </c>
      <c r="L1714" s="1" t="s">
        <v>12</v>
      </c>
      <c r="M1714" s="1" t="s">
        <v>12</v>
      </c>
      <c r="N1714" s="1">
        <v>33.18</v>
      </c>
      <c r="O1714" s="1" t="s">
        <v>24</v>
      </c>
      <c r="P1714" s="1">
        <v>0.23</v>
      </c>
      <c r="Q1714" s="1" t="s">
        <v>16</v>
      </c>
      <c r="R1714" s="1" t="str">
        <f>IF(N1714="","",VLOOKUP(N1714,Prior_levels,2,TRUE))</f>
        <v>H</v>
      </c>
    </row>
    <row r="1715" spans="1:18" x14ac:dyDescent="0.2">
      <c r="A1715" s="1" t="s">
        <v>190</v>
      </c>
      <c r="B1715" s="1" t="s">
        <v>10</v>
      </c>
      <c r="C1715" s="2">
        <v>41155</v>
      </c>
      <c r="D1715" s="1">
        <v>10</v>
      </c>
      <c r="E1715" s="1" t="s">
        <v>39</v>
      </c>
      <c r="I1715" s="1" t="s">
        <v>12</v>
      </c>
      <c r="J1715" s="1" t="s">
        <v>177</v>
      </c>
      <c r="K1715" s="1" t="s">
        <v>14</v>
      </c>
      <c r="L1715" s="1" t="s">
        <v>12</v>
      </c>
      <c r="M1715" s="1" t="s">
        <v>12</v>
      </c>
      <c r="N1715" s="1">
        <v>33.18</v>
      </c>
      <c r="O1715" s="1" t="s">
        <v>32</v>
      </c>
      <c r="P1715" s="1" t="s">
        <v>37</v>
      </c>
      <c r="Q1715" s="1" t="s">
        <v>16</v>
      </c>
      <c r="R1715" s="1" t="str">
        <f>IF(N1715="","",VLOOKUP(N1715,Prior_levels,2,TRUE))</f>
        <v>H</v>
      </c>
    </row>
    <row r="1716" spans="1:18" x14ac:dyDescent="0.2">
      <c r="A1716" s="1" t="s">
        <v>190</v>
      </c>
      <c r="B1716" s="1" t="s">
        <v>10</v>
      </c>
      <c r="C1716" s="2">
        <v>41155</v>
      </c>
      <c r="D1716" s="1">
        <v>10</v>
      </c>
      <c r="E1716" s="1" t="s">
        <v>39</v>
      </c>
      <c r="I1716" s="1" t="s">
        <v>12</v>
      </c>
      <c r="J1716" s="1" t="s">
        <v>177</v>
      </c>
      <c r="K1716" s="1" t="s">
        <v>14</v>
      </c>
      <c r="L1716" s="1" t="s">
        <v>12</v>
      </c>
      <c r="M1716" s="1" t="s">
        <v>12</v>
      </c>
      <c r="N1716" s="1">
        <v>33.18</v>
      </c>
      <c r="O1716" s="1" t="s">
        <v>27</v>
      </c>
      <c r="P1716" s="1" t="s">
        <v>37</v>
      </c>
      <c r="Q1716" s="1" t="s">
        <v>16</v>
      </c>
      <c r="R1716" s="1" t="str">
        <f>IF(N1716="","",VLOOKUP(N1716,Prior_levels,2,TRUE))</f>
        <v>H</v>
      </c>
    </row>
    <row r="1717" spans="1:18" x14ac:dyDescent="0.2">
      <c r="A1717" s="1" t="s">
        <v>190</v>
      </c>
      <c r="B1717" s="1" t="s">
        <v>10</v>
      </c>
      <c r="C1717" s="2">
        <v>41155</v>
      </c>
      <c r="D1717" s="1">
        <v>10</v>
      </c>
      <c r="E1717" s="1" t="s">
        <v>39</v>
      </c>
      <c r="I1717" s="1" t="s">
        <v>12</v>
      </c>
      <c r="J1717" s="1" t="s">
        <v>177</v>
      </c>
      <c r="K1717" s="1" t="s">
        <v>14</v>
      </c>
      <c r="L1717" s="1" t="s">
        <v>12</v>
      </c>
      <c r="M1717" s="1" t="s">
        <v>12</v>
      </c>
      <c r="N1717" s="1">
        <v>33.18</v>
      </c>
      <c r="O1717" s="1" t="s">
        <v>29</v>
      </c>
      <c r="P1717" s="1" t="s">
        <v>37</v>
      </c>
      <c r="Q1717" s="1" t="s">
        <v>16</v>
      </c>
      <c r="R1717" s="1" t="str">
        <f>IF(N1717="","",VLOOKUP(N1717,Prior_levels,2,TRUE))</f>
        <v>H</v>
      </c>
    </row>
    <row r="1718" spans="1:18" x14ac:dyDescent="0.2">
      <c r="A1718" s="1" t="s">
        <v>190</v>
      </c>
      <c r="B1718" s="1" t="s">
        <v>10</v>
      </c>
      <c r="C1718" s="2">
        <v>41155</v>
      </c>
      <c r="D1718" s="1">
        <v>10</v>
      </c>
      <c r="E1718" s="1" t="s">
        <v>39</v>
      </c>
      <c r="I1718" s="1" t="s">
        <v>12</v>
      </c>
      <c r="J1718" s="1" t="s">
        <v>177</v>
      </c>
      <c r="K1718" s="1" t="s">
        <v>14</v>
      </c>
      <c r="L1718" s="1" t="s">
        <v>12</v>
      </c>
      <c r="M1718" s="1" t="s">
        <v>12</v>
      </c>
      <c r="N1718" s="1">
        <v>33.18</v>
      </c>
      <c r="O1718" s="1" t="s">
        <v>30</v>
      </c>
      <c r="P1718" s="1" t="s">
        <v>37</v>
      </c>
      <c r="Q1718" s="1" t="s">
        <v>16</v>
      </c>
      <c r="R1718" s="1" t="str">
        <f>IF(N1718="","",VLOOKUP(N1718,Prior_levels,2,TRUE))</f>
        <v>H</v>
      </c>
    </row>
    <row r="1719" spans="1:18" x14ac:dyDescent="0.2">
      <c r="A1719" s="1" t="s">
        <v>190</v>
      </c>
      <c r="B1719" s="1" t="s">
        <v>10</v>
      </c>
      <c r="C1719" s="2">
        <v>41155</v>
      </c>
      <c r="D1719" s="1">
        <v>10</v>
      </c>
      <c r="E1719" s="1" t="s">
        <v>39</v>
      </c>
      <c r="I1719" s="1" t="s">
        <v>12</v>
      </c>
      <c r="J1719" s="1" t="s">
        <v>177</v>
      </c>
      <c r="K1719" s="1" t="s">
        <v>14</v>
      </c>
      <c r="L1719" s="1" t="s">
        <v>12</v>
      </c>
      <c r="M1719" s="1" t="s">
        <v>12</v>
      </c>
      <c r="N1719" s="1">
        <v>33.18</v>
      </c>
      <c r="O1719" s="1" t="s">
        <v>31</v>
      </c>
      <c r="P1719" s="1" t="s">
        <v>37</v>
      </c>
      <c r="Q1719" s="1" t="s">
        <v>16</v>
      </c>
      <c r="R1719" s="1" t="str">
        <f>IF(N1719="","",VLOOKUP(N1719,Prior_levels,2,TRUE))</f>
        <v>H</v>
      </c>
    </row>
    <row r="1720" spans="1:18" x14ac:dyDescent="0.2">
      <c r="A1720" s="1" t="s">
        <v>191</v>
      </c>
      <c r="B1720" s="1" t="s">
        <v>12</v>
      </c>
      <c r="C1720" s="2">
        <v>41155</v>
      </c>
      <c r="D1720" s="1">
        <v>10</v>
      </c>
      <c r="E1720" s="1" t="s">
        <v>42</v>
      </c>
      <c r="I1720" s="1" t="s">
        <v>12</v>
      </c>
      <c r="J1720" s="1" t="s">
        <v>192</v>
      </c>
      <c r="K1720" s="1" t="s">
        <v>14</v>
      </c>
      <c r="L1720" s="1" t="s">
        <v>12</v>
      </c>
      <c r="M1720" s="1" t="s">
        <v>12</v>
      </c>
      <c r="N1720" s="1">
        <v>21.12</v>
      </c>
      <c r="O1720" s="1" t="s">
        <v>15</v>
      </c>
      <c r="P1720" s="1">
        <v>2.5</v>
      </c>
      <c r="Q1720" s="1" t="s">
        <v>16</v>
      </c>
      <c r="R1720" s="1" t="str">
        <f>IF(N1720="","",VLOOKUP(N1720,Prior_levels,2,TRUE))</f>
        <v>L</v>
      </c>
    </row>
    <row r="1721" spans="1:18" x14ac:dyDescent="0.2">
      <c r="A1721" s="1" t="s">
        <v>191</v>
      </c>
      <c r="B1721" s="1" t="s">
        <v>12</v>
      </c>
      <c r="C1721" s="2">
        <v>41155</v>
      </c>
      <c r="D1721" s="1">
        <v>10</v>
      </c>
      <c r="E1721" s="1" t="s">
        <v>42</v>
      </c>
      <c r="I1721" s="1" t="s">
        <v>12</v>
      </c>
      <c r="J1721" s="1" t="s">
        <v>192</v>
      </c>
      <c r="K1721" s="1" t="s">
        <v>14</v>
      </c>
      <c r="L1721" s="1" t="s">
        <v>12</v>
      </c>
      <c r="M1721" s="1" t="s">
        <v>12</v>
      </c>
      <c r="N1721" s="1">
        <v>21.12</v>
      </c>
      <c r="O1721" s="1" t="s">
        <v>17</v>
      </c>
      <c r="P1721" s="1">
        <v>-0.33</v>
      </c>
      <c r="Q1721" s="1" t="s">
        <v>16</v>
      </c>
      <c r="R1721" s="1" t="str">
        <f>IF(N1721="","",VLOOKUP(N1721,Prior_levels,2,TRUE))</f>
        <v>L</v>
      </c>
    </row>
    <row r="1722" spans="1:18" x14ac:dyDescent="0.2">
      <c r="A1722" s="1" t="s">
        <v>191</v>
      </c>
      <c r="B1722" s="1" t="s">
        <v>12</v>
      </c>
      <c r="C1722" s="2">
        <v>41155</v>
      </c>
      <c r="D1722" s="1">
        <v>10</v>
      </c>
      <c r="E1722" s="1" t="s">
        <v>42</v>
      </c>
      <c r="I1722" s="1" t="s">
        <v>12</v>
      </c>
      <c r="J1722" s="1" t="s">
        <v>192</v>
      </c>
      <c r="K1722" s="1" t="s">
        <v>14</v>
      </c>
      <c r="L1722" s="1" t="s">
        <v>12</v>
      </c>
      <c r="M1722" s="1" t="s">
        <v>12</v>
      </c>
      <c r="N1722" s="1">
        <v>21.12</v>
      </c>
      <c r="O1722" s="1" t="s">
        <v>18</v>
      </c>
      <c r="P1722" s="1">
        <v>6</v>
      </c>
      <c r="Q1722" s="1" t="s">
        <v>16</v>
      </c>
      <c r="R1722" s="1" t="str">
        <f>IF(N1722="","",VLOOKUP(N1722,Prior_levels,2,TRUE))</f>
        <v>L</v>
      </c>
    </row>
    <row r="1723" spans="1:18" x14ac:dyDescent="0.2">
      <c r="A1723" s="1" t="s">
        <v>191</v>
      </c>
      <c r="B1723" s="1" t="s">
        <v>12</v>
      </c>
      <c r="C1723" s="2">
        <v>41155</v>
      </c>
      <c r="D1723" s="1">
        <v>10</v>
      </c>
      <c r="E1723" s="1" t="s">
        <v>42</v>
      </c>
      <c r="I1723" s="1" t="s">
        <v>12</v>
      </c>
      <c r="J1723" s="1" t="s">
        <v>192</v>
      </c>
      <c r="K1723" s="1" t="s">
        <v>14</v>
      </c>
      <c r="L1723" s="1" t="s">
        <v>12</v>
      </c>
      <c r="M1723" s="1" t="s">
        <v>12</v>
      </c>
      <c r="N1723" s="1">
        <v>21.12</v>
      </c>
      <c r="O1723" s="1" t="s">
        <v>19</v>
      </c>
      <c r="P1723" s="1">
        <v>6</v>
      </c>
      <c r="Q1723" s="1" t="s">
        <v>16</v>
      </c>
      <c r="R1723" s="1" t="str">
        <f>IF(N1723="","",VLOOKUP(N1723,Prior_levels,2,TRUE))</f>
        <v>L</v>
      </c>
    </row>
    <row r="1724" spans="1:18" x14ac:dyDescent="0.2">
      <c r="A1724" s="1" t="s">
        <v>191</v>
      </c>
      <c r="B1724" s="1" t="s">
        <v>12</v>
      </c>
      <c r="C1724" s="2">
        <v>41155</v>
      </c>
      <c r="D1724" s="1">
        <v>10</v>
      </c>
      <c r="E1724" s="1" t="s">
        <v>42</v>
      </c>
      <c r="I1724" s="1" t="s">
        <v>12</v>
      </c>
      <c r="J1724" s="1" t="s">
        <v>192</v>
      </c>
      <c r="K1724" s="1" t="s">
        <v>14</v>
      </c>
      <c r="L1724" s="1" t="s">
        <v>12</v>
      </c>
      <c r="M1724" s="1" t="s">
        <v>12</v>
      </c>
      <c r="N1724" s="1">
        <v>21.12</v>
      </c>
      <c r="O1724" s="1" t="s">
        <v>20</v>
      </c>
      <c r="P1724" s="1">
        <v>6</v>
      </c>
      <c r="Q1724" s="1" t="s">
        <v>16</v>
      </c>
      <c r="R1724" s="1" t="str">
        <f>IF(N1724="","",VLOOKUP(N1724,Prior_levels,2,TRUE))</f>
        <v>L</v>
      </c>
    </row>
    <row r="1725" spans="1:18" x14ac:dyDescent="0.2">
      <c r="A1725" s="1" t="s">
        <v>191</v>
      </c>
      <c r="B1725" s="1" t="s">
        <v>12</v>
      </c>
      <c r="C1725" s="2">
        <v>41155</v>
      </c>
      <c r="D1725" s="1">
        <v>10</v>
      </c>
      <c r="E1725" s="1" t="s">
        <v>42</v>
      </c>
      <c r="I1725" s="1" t="s">
        <v>12</v>
      </c>
      <c r="J1725" s="1" t="s">
        <v>192</v>
      </c>
      <c r="K1725" s="1" t="s">
        <v>14</v>
      </c>
      <c r="L1725" s="1" t="s">
        <v>12</v>
      </c>
      <c r="M1725" s="1" t="s">
        <v>12</v>
      </c>
      <c r="N1725" s="1">
        <v>21.12</v>
      </c>
      <c r="O1725" s="1" t="s">
        <v>21</v>
      </c>
      <c r="P1725" s="1">
        <v>7</v>
      </c>
      <c r="Q1725" s="1" t="s">
        <v>16</v>
      </c>
      <c r="R1725" s="1" t="str">
        <f>IF(N1725="","",VLOOKUP(N1725,Prior_levels,2,TRUE))</f>
        <v>L</v>
      </c>
    </row>
    <row r="1726" spans="1:18" x14ac:dyDescent="0.2">
      <c r="A1726" s="1" t="s">
        <v>191</v>
      </c>
      <c r="B1726" s="1" t="s">
        <v>12</v>
      </c>
      <c r="C1726" s="2">
        <v>41155</v>
      </c>
      <c r="D1726" s="1">
        <v>10</v>
      </c>
      <c r="E1726" s="1" t="s">
        <v>42</v>
      </c>
      <c r="I1726" s="1" t="s">
        <v>12</v>
      </c>
      <c r="J1726" s="1" t="s">
        <v>192</v>
      </c>
      <c r="K1726" s="1" t="s">
        <v>14</v>
      </c>
      <c r="L1726" s="1" t="s">
        <v>12</v>
      </c>
      <c r="M1726" s="1" t="s">
        <v>12</v>
      </c>
      <c r="N1726" s="1">
        <v>21.12</v>
      </c>
      <c r="O1726" s="1" t="s">
        <v>22</v>
      </c>
      <c r="P1726" s="1">
        <v>-0.66</v>
      </c>
      <c r="Q1726" s="1" t="s">
        <v>16</v>
      </c>
      <c r="R1726" s="1" t="str">
        <f>IF(N1726="","",VLOOKUP(N1726,Prior_levels,2,TRUE))</f>
        <v>L</v>
      </c>
    </row>
    <row r="1727" spans="1:18" x14ac:dyDescent="0.2">
      <c r="A1727" s="1" t="s">
        <v>191</v>
      </c>
      <c r="B1727" s="1" t="s">
        <v>12</v>
      </c>
      <c r="C1727" s="2">
        <v>41155</v>
      </c>
      <c r="D1727" s="1">
        <v>10</v>
      </c>
      <c r="E1727" s="1" t="s">
        <v>42</v>
      </c>
      <c r="I1727" s="1" t="s">
        <v>12</v>
      </c>
      <c r="J1727" s="1" t="s">
        <v>192</v>
      </c>
      <c r="K1727" s="1" t="s">
        <v>14</v>
      </c>
      <c r="L1727" s="1" t="s">
        <v>12</v>
      </c>
      <c r="M1727" s="1" t="s">
        <v>12</v>
      </c>
      <c r="N1727" s="1">
        <v>21.12</v>
      </c>
      <c r="O1727" s="1" t="s">
        <v>23</v>
      </c>
      <c r="P1727" s="1">
        <v>0.39</v>
      </c>
      <c r="Q1727" s="1" t="s">
        <v>16</v>
      </c>
      <c r="R1727" s="1" t="str">
        <f>IF(N1727="","",VLOOKUP(N1727,Prior_levels,2,TRUE))</f>
        <v>L</v>
      </c>
    </row>
    <row r="1728" spans="1:18" x14ac:dyDescent="0.2">
      <c r="A1728" s="1" t="s">
        <v>191</v>
      </c>
      <c r="B1728" s="1" t="s">
        <v>12</v>
      </c>
      <c r="C1728" s="2">
        <v>41155</v>
      </c>
      <c r="D1728" s="1">
        <v>10</v>
      </c>
      <c r="E1728" s="1" t="s">
        <v>42</v>
      </c>
      <c r="I1728" s="1" t="s">
        <v>12</v>
      </c>
      <c r="J1728" s="1" t="s">
        <v>192</v>
      </c>
      <c r="K1728" s="1" t="s">
        <v>14</v>
      </c>
      <c r="L1728" s="1" t="s">
        <v>12</v>
      </c>
      <c r="M1728" s="1" t="s">
        <v>12</v>
      </c>
      <c r="N1728" s="1">
        <v>21.12</v>
      </c>
      <c r="O1728" s="1" t="s">
        <v>24</v>
      </c>
      <c r="P1728" s="1">
        <v>1.49</v>
      </c>
      <c r="Q1728" s="1" t="s">
        <v>16</v>
      </c>
      <c r="R1728" s="1" t="str">
        <f>IF(N1728="","",VLOOKUP(N1728,Prior_levels,2,TRUE))</f>
        <v>L</v>
      </c>
    </row>
    <row r="1729" spans="1:18" x14ac:dyDescent="0.2">
      <c r="A1729" s="1" t="s">
        <v>191</v>
      </c>
      <c r="B1729" s="1" t="s">
        <v>12</v>
      </c>
      <c r="C1729" s="2">
        <v>41155</v>
      </c>
      <c r="D1729" s="1">
        <v>10</v>
      </c>
      <c r="E1729" s="1" t="s">
        <v>42</v>
      </c>
      <c r="I1729" s="1" t="s">
        <v>12</v>
      </c>
      <c r="J1729" s="1" t="s">
        <v>192</v>
      </c>
      <c r="K1729" s="1" t="s">
        <v>14</v>
      </c>
      <c r="L1729" s="1" t="s">
        <v>12</v>
      </c>
      <c r="M1729" s="1" t="s">
        <v>12</v>
      </c>
      <c r="N1729" s="1">
        <v>21.12</v>
      </c>
      <c r="O1729" s="1" t="s">
        <v>25</v>
      </c>
      <c r="P1729" s="1">
        <v>-4.2</v>
      </c>
      <c r="Q1729" s="1" t="s">
        <v>16</v>
      </c>
      <c r="R1729" s="1" t="str">
        <f>IF(N1729="","",VLOOKUP(N1729,Prior_levels,2,TRUE))</f>
        <v>L</v>
      </c>
    </row>
    <row r="1730" spans="1:18" x14ac:dyDescent="0.2">
      <c r="A1730" s="1" t="s">
        <v>191</v>
      </c>
      <c r="B1730" s="1" t="s">
        <v>12</v>
      </c>
      <c r="C1730" s="2">
        <v>41155</v>
      </c>
      <c r="D1730" s="1">
        <v>10</v>
      </c>
      <c r="E1730" s="1" t="s">
        <v>42</v>
      </c>
      <c r="I1730" s="1" t="s">
        <v>12</v>
      </c>
      <c r="J1730" s="1" t="s">
        <v>192</v>
      </c>
      <c r="K1730" s="1" t="s">
        <v>14</v>
      </c>
      <c r="L1730" s="1" t="s">
        <v>12</v>
      </c>
      <c r="M1730" s="1" t="s">
        <v>12</v>
      </c>
      <c r="N1730" s="1">
        <v>21.12</v>
      </c>
      <c r="O1730" s="1" t="s">
        <v>26</v>
      </c>
      <c r="P1730" s="1">
        <v>0</v>
      </c>
      <c r="Q1730" s="1" t="s">
        <v>16</v>
      </c>
      <c r="R1730" s="1" t="str">
        <f>IF(N1730="","",VLOOKUP(N1730,Prior_levels,2,TRUE))</f>
        <v>L</v>
      </c>
    </row>
    <row r="1731" spans="1:18" x14ac:dyDescent="0.2">
      <c r="A1731" s="1" t="s">
        <v>191</v>
      </c>
      <c r="B1731" s="1" t="s">
        <v>12</v>
      </c>
      <c r="C1731" s="2">
        <v>41155</v>
      </c>
      <c r="D1731" s="1">
        <v>10</v>
      </c>
      <c r="E1731" s="1" t="s">
        <v>42</v>
      </c>
      <c r="I1731" s="1" t="s">
        <v>12</v>
      </c>
      <c r="J1731" s="1" t="s">
        <v>192</v>
      </c>
      <c r="K1731" s="1" t="s">
        <v>14</v>
      </c>
      <c r="L1731" s="1" t="s">
        <v>12</v>
      </c>
      <c r="M1731" s="1" t="s">
        <v>12</v>
      </c>
      <c r="N1731" s="1">
        <v>21.12</v>
      </c>
      <c r="O1731" s="1" t="s">
        <v>32</v>
      </c>
      <c r="P1731" s="1" t="s">
        <v>28</v>
      </c>
      <c r="Q1731" s="1" t="s">
        <v>16</v>
      </c>
      <c r="R1731" s="1" t="str">
        <f>IF(N1731="","",VLOOKUP(N1731,Prior_levels,2,TRUE))</f>
        <v>L</v>
      </c>
    </row>
    <row r="1732" spans="1:18" x14ac:dyDescent="0.2">
      <c r="A1732" s="1" t="s">
        <v>191</v>
      </c>
      <c r="B1732" s="1" t="s">
        <v>12</v>
      </c>
      <c r="C1732" s="2">
        <v>41155</v>
      </c>
      <c r="D1732" s="1">
        <v>10</v>
      </c>
      <c r="E1732" s="1" t="s">
        <v>42</v>
      </c>
      <c r="I1732" s="1" t="s">
        <v>12</v>
      </c>
      <c r="J1732" s="1" t="s">
        <v>192</v>
      </c>
      <c r="K1732" s="1" t="s">
        <v>14</v>
      </c>
      <c r="L1732" s="1" t="s">
        <v>12</v>
      </c>
      <c r="M1732" s="1" t="s">
        <v>12</v>
      </c>
      <c r="N1732" s="1">
        <v>21.12</v>
      </c>
      <c r="O1732" s="1" t="s">
        <v>27</v>
      </c>
      <c r="P1732" s="1" t="s">
        <v>28</v>
      </c>
      <c r="Q1732" s="1" t="s">
        <v>16</v>
      </c>
      <c r="R1732" s="1" t="str">
        <f>IF(N1732="","",VLOOKUP(N1732,Prior_levels,2,TRUE))</f>
        <v>L</v>
      </c>
    </row>
    <row r="1733" spans="1:18" x14ac:dyDescent="0.2">
      <c r="A1733" s="1" t="s">
        <v>191</v>
      </c>
      <c r="B1733" s="1" t="s">
        <v>12</v>
      </c>
      <c r="C1733" s="2">
        <v>41155</v>
      </c>
      <c r="D1733" s="1">
        <v>10</v>
      </c>
      <c r="E1733" s="1" t="s">
        <v>42</v>
      </c>
      <c r="I1733" s="1" t="s">
        <v>12</v>
      </c>
      <c r="J1733" s="1" t="s">
        <v>192</v>
      </c>
      <c r="K1733" s="1" t="s">
        <v>14</v>
      </c>
      <c r="L1733" s="1" t="s">
        <v>12</v>
      </c>
      <c r="M1733" s="1" t="s">
        <v>12</v>
      </c>
      <c r="N1733" s="1">
        <v>21.12</v>
      </c>
      <c r="O1733" s="1" t="s">
        <v>29</v>
      </c>
      <c r="P1733" s="1" t="s">
        <v>28</v>
      </c>
      <c r="Q1733" s="1" t="s">
        <v>16</v>
      </c>
      <c r="R1733" s="1" t="str">
        <f>IF(N1733="","",VLOOKUP(N1733,Prior_levels,2,TRUE))</f>
        <v>L</v>
      </c>
    </row>
    <row r="1734" spans="1:18" x14ac:dyDescent="0.2">
      <c r="A1734" s="1" t="s">
        <v>191</v>
      </c>
      <c r="B1734" s="1" t="s">
        <v>12</v>
      </c>
      <c r="C1734" s="2">
        <v>41155</v>
      </c>
      <c r="D1734" s="1">
        <v>10</v>
      </c>
      <c r="E1734" s="1" t="s">
        <v>42</v>
      </c>
      <c r="I1734" s="1" t="s">
        <v>12</v>
      </c>
      <c r="J1734" s="1" t="s">
        <v>192</v>
      </c>
      <c r="K1734" s="1" t="s">
        <v>14</v>
      </c>
      <c r="L1734" s="1" t="s">
        <v>12</v>
      </c>
      <c r="M1734" s="1" t="s">
        <v>12</v>
      </c>
      <c r="N1734" s="1">
        <v>21.12</v>
      </c>
      <c r="O1734" s="1" t="s">
        <v>30</v>
      </c>
      <c r="P1734" s="1" t="s">
        <v>28</v>
      </c>
      <c r="Q1734" s="1" t="s">
        <v>16</v>
      </c>
      <c r="R1734" s="1" t="str">
        <f>IF(N1734="","",VLOOKUP(N1734,Prior_levels,2,TRUE))</f>
        <v>L</v>
      </c>
    </row>
    <row r="1735" spans="1:18" x14ac:dyDescent="0.2">
      <c r="A1735" s="1" t="s">
        <v>191</v>
      </c>
      <c r="B1735" s="1" t="s">
        <v>12</v>
      </c>
      <c r="C1735" s="2">
        <v>41155</v>
      </c>
      <c r="D1735" s="1">
        <v>10</v>
      </c>
      <c r="E1735" s="1" t="s">
        <v>42</v>
      </c>
      <c r="I1735" s="1" t="s">
        <v>12</v>
      </c>
      <c r="J1735" s="1" t="s">
        <v>192</v>
      </c>
      <c r="K1735" s="1" t="s">
        <v>14</v>
      </c>
      <c r="L1735" s="1" t="s">
        <v>12</v>
      </c>
      <c r="M1735" s="1" t="s">
        <v>12</v>
      </c>
      <c r="N1735" s="1">
        <v>21.12</v>
      </c>
      <c r="O1735" s="1" t="s">
        <v>31</v>
      </c>
      <c r="P1735" s="1" t="s">
        <v>28</v>
      </c>
      <c r="Q1735" s="1" t="s">
        <v>16</v>
      </c>
      <c r="R1735" s="1" t="str">
        <f>IF(N1735="","",VLOOKUP(N1735,Prior_levels,2,TRUE))</f>
        <v>L</v>
      </c>
    </row>
    <row r="1736" spans="1:18" x14ac:dyDescent="0.2">
      <c r="A1736" s="1" t="s">
        <v>193</v>
      </c>
      <c r="B1736" s="1" t="s">
        <v>12</v>
      </c>
      <c r="C1736" s="2">
        <v>41155</v>
      </c>
      <c r="D1736" s="1">
        <v>10</v>
      </c>
      <c r="E1736" s="1" t="s">
        <v>52</v>
      </c>
      <c r="I1736" s="1" t="s">
        <v>12</v>
      </c>
      <c r="J1736" s="1" t="s">
        <v>194</v>
      </c>
      <c r="K1736" s="1" t="s">
        <v>14</v>
      </c>
      <c r="L1736" s="1" t="s">
        <v>12</v>
      </c>
      <c r="M1736" s="1" t="s">
        <v>12</v>
      </c>
      <c r="N1736" s="1">
        <v>27.12</v>
      </c>
      <c r="O1736" s="1" t="s">
        <v>15</v>
      </c>
      <c r="P1736" s="1">
        <v>5</v>
      </c>
      <c r="Q1736" s="1" t="s">
        <v>16</v>
      </c>
      <c r="R1736" s="1" t="str">
        <f>IF(N1736="","",VLOOKUP(N1736,Prior_levels,2,TRUE))</f>
        <v>M</v>
      </c>
    </row>
    <row r="1737" spans="1:18" x14ac:dyDescent="0.2">
      <c r="A1737" s="1" t="s">
        <v>193</v>
      </c>
      <c r="B1737" s="1" t="s">
        <v>12</v>
      </c>
      <c r="C1737" s="2">
        <v>41155</v>
      </c>
      <c r="D1737" s="1">
        <v>10</v>
      </c>
      <c r="E1737" s="1" t="s">
        <v>52</v>
      </c>
      <c r="I1737" s="1" t="s">
        <v>12</v>
      </c>
      <c r="J1737" s="1" t="s">
        <v>194</v>
      </c>
      <c r="K1737" s="1" t="s">
        <v>14</v>
      </c>
      <c r="L1737" s="1" t="s">
        <v>12</v>
      </c>
      <c r="M1737" s="1" t="s">
        <v>12</v>
      </c>
      <c r="N1737" s="1">
        <v>27.12</v>
      </c>
      <c r="O1737" s="1" t="s">
        <v>17</v>
      </c>
      <c r="P1737" s="1">
        <v>0.45</v>
      </c>
      <c r="Q1737" s="1" t="s">
        <v>16</v>
      </c>
      <c r="R1737" s="1" t="str">
        <f>IF(N1737="","",VLOOKUP(N1737,Prior_levels,2,TRUE))</f>
        <v>M</v>
      </c>
    </row>
    <row r="1738" spans="1:18" x14ac:dyDescent="0.2">
      <c r="A1738" s="1" t="s">
        <v>193</v>
      </c>
      <c r="B1738" s="1" t="s">
        <v>12</v>
      </c>
      <c r="C1738" s="2">
        <v>41155</v>
      </c>
      <c r="D1738" s="1">
        <v>10</v>
      </c>
      <c r="E1738" s="1" t="s">
        <v>52</v>
      </c>
      <c r="I1738" s="1" t="s">
        <v>12</v>
      </c>
      <c r="J1738" s="1" t="s">
        <v>194</v>
      </c>
      <c r="K1738" s="1" t="s">
        <v>14</v>
      </c>
      <c r="L1738" s="1" t="s">
        <v>12</v>
      </c>
      <c r="M1738" s="1" t="s">
        <v>12</v>
      </c>
      <c r="N1738" s="1">
        <v>27.12</v>
      </c>
      <c r="O1738" s="1" t="s">
        <v>18</v>
      </c>
      <c r="P1738" s="1">
        <v>10</v>
      </c>
      <c r="Q1738" s="1" t="s">
        <v>16</v>
      </c>
      <c r="R1738" s="1" t="str">
        <f>IF(N1738="","",VLOOKUP(N1738,Prior_levels,2,TRUE))</f>
        <v>M</v>
      </c>
    </row>
    <row r="1739" spans="1:18" x14ac:dyDescent="0.2">
      <c r="A1739" s="1" t="s">
        <v>193</v>
      </c>
      <c r="B1739" s="1" t="s">
        <v>12</v>
      </c>
      <c r="C1739" s="2">
        <v>41155</v>
      </c>
      <c r="D1739" s="1">
        <v>10</v>
      </c>
      <c r="E1739" s="1" t="s">
        <v>52</v>
      </c>
      <c r="I1739" s="1" t="s">
        <v>12</v>
      </c>
      <c r="J1739" s="1" t="s">
        <v>194</v>
      </c>
      <c r="K1739" s="1" t="s">
        <v>14</v>
      </c>
      <c r="L1739" s="1" t="s">
        <v>12</v>
      </c>
      <c r="M1739" s="1" t="s">
        <v>12</v>
      </c>
      <c r="N1739" s="1">
        <v>27.12</v>
      </c>
      <c r="O1739" s="1" t="s">
        <v>19</v>
      </c>
      <c r="P1739" s="1">
        <v>12</v>
      </c>
      <c r="Q1739" s="1" t="s">
        <v>16</v>
      </c>
      <c r="R1739" s="1" t="str">
        <f>IF(N1739="","",VLOOKUP(N1739,Prior_levels,2,TRUE))</f>
        <v>M</v>
      </c>
    </row>
    <row r="1740" spans="1:18" x14ac:dyDescent="0.2">
      <c r="A1740" s="1" t="s">
        <v>193</v>
      </c>
      <c r="B1740" s="1" t="s">
        <v>12</v>
      </c>
      <c r="C1740" s="2">
        <v>41155</v>
      </c>
      <c r="D1740" s="1">
        <v>10</v>
      </c>
      <c r="E1740" s="1" t="s">
        <v>52</v>
      </c>
      <c r="I1740" s="1" t="s">
        <v>12</v>
      </c>
      <c r="J1740" s="1" t="s">
        <v>194</v>
      </c>
      <c r="K1740" s="1" t="s">
        <v>14</v>
      </c>
      <c r="L1740" s="1" t="s">
        <v>12</v>
      </c>
      <c r="M1740" s="1" t="s">
        <v>12</v>
      </c>
      <c r="N1740" s="1">
        <v>27.12</v>
      </c>
      <c r="O1740" s="1" t="s">
        <v>20</v>
      </c>
      <c r="P1740" s="1">
        <v>15</v>
      </c>
      <c r="Q1740" s="1" t="s">
        <v>16</v>
      </c>
      <c r="R1740" s="1" t="str">
        <f>IF(N1740="","",VLOOKUP(N1740,Prior_levels,2,TRUE))</f>
        <v>M</v>
      </c>
    </row>
    <row r="1741" spans="1:18" x14ac:dyDescent="0.2">
      <c r="A1741" s="1" t="s">
        <v>193</v>
      </c>
      <c r="B1741" s="1" t="s">
        <v>12</v>
      </c>
      <c r="C1741" s="2">
        <v>41155</v>
      </c>
      <c r="D1741" s="1">
        <v>10</v>
      </c>
      <c r="E1741" s="1" t="s">
        <v>52</v>
      </c>
      <c r="I1741" s="1" t="s">
        <v>12</v>
      </c>
      <c r="J1741" s="1" t="s">
        <v>194</v>
      </c>
      <c r="K1741" s="1" t="s">
        <v>14</v>
      </c>
      <c r="L1741" s="1" t="s">
        <v>12</v>
      </c>
      <c r="M1741" s="1" t="s">
        <v>12</v>
      </c>
      <c r="N1741" s="1">
        <v>27.12</v>
      </c>
      <c r="O1741" s="1" t="s">
        <v>21</v>
      </c>
      <c r="P1741" s="1">
        <v>13</v>
      </c>
      <c r="Q1741" s="1" t="s">
        <v>16</v>
      </c>
      <c r="R1741" s="1" t="str">
        <f>IF(N1741="","",VLOOKUP(N1741,Prior_levels,2,TRUE))</f>
        <v>M</v>
      </c>
    </row>
    <row r="1742" spans="1:18" x14ac:dyDescent="0.2">
      <c r="A1742" s="1" t="s">
        <v>193</v>
      </c>
      <c r="B1742" s="1" t="s">
        <v>12</v>
      </c>
      <c r="C1742" s="2">
        <v>41155</v>
      </c>
      <c r="D1742" s="1">
        <v>10</v>
      </c>
      <c r="E1742" s="1" t="s">
        <v>52</v>
      </c>
      <c r="I1742" s="1" t="s">
        <v>12</v>
      </c>
      <c r="J1742" s="1" t="s">
        <v>194</v>
      </c>
      <c r="K1742" s="1" t="s">
        <v>14</v>
      </c>
      <c r="L1742" s="1" t="s">
        <v>12</v>
      </c>
      <c r="M1742" s="1" t="s">
        <v>12</v>
      </c>
      <c r="N1742" s="1">
        <v>27.12</v>
      </c>
      <c r="O1742" s="1" t="s">
        <v>22</v>
      </c>
      <c r="P1742" s="1">
        <v>-0.05</v>
      </c>
      <c r="Q1742" s="1" t="s">
        <v>16</v>
      </c>
      <c r="R1742" s="1" t="str">
        <f>IF(N1742="","",VLOOKUP(N1742,Prior_levels,2,TRUE))</f>
        <v>M</v>
      </c>
    </row>
    <row r="1743" spans="1:18" x14ac:dyDescent="0.2">
      <c r="A1743" s="1" t="s">
        <v>193</v>
      </c>
      <c r="B1743" s="1" t="s">
        <v>12</v>
      </c>
      <c r="C1743" s="2">
        <v>41155</v>
      </c>
      <c r="D1743" s="1">
        <v>10</v>
      </c>
      <c r="E1743" s="1" t="s">
        <v>52</v>
      </c>
      <c r="I1743" s="1" t="s">
        <v>12</v>
      </c>
      <c r="J1743" s="1" t="s">
        <v>194</v>
      </c>
      <c r="K1743" s="1" t="s">
        <v>14</v>
      </c>
      <c r="L1743" s="1" t="s">
        <v>12</v>
      </c>
      <c r="M1743" s="1" t="s">
        <v>12</v>
      </c>
      <c r="N1743" s="1">
        <v>27.12</v>
      </c>
      <c r="O1743" s="1" t="s">
        <v>23</v>
      </c>
      <c r="P1743" s="1">
        <v>1.36</v>
      </c>
      <c r="Q1743" s="1" t="s">
        <v>16</v>
      </c>
      <c r="R1743" s="1" t="str">
        <f>IF(N1743="","",VLOOKUP(N1743,Prior_levels,2,TRUE))</f>
        <v>M</v>
      </c>
    </row>
    <row r="1744" spans="1:18" x14ac:dyDescent="0.2">
      <c r="A1744" s="1" t="s">
        <v>193</v>
      </c>
      <c r="B1744" s="1" t="s">
        <v>12</v>
      </c>
      <c r="C1744" s="2">
        <v>41155</v>
      </c>
      <c r="D1744" s="1">
        <v>10</v>
      </c>
      <c r="E1744" s="1" t="s">
        <v>52</v>
      </c>
      <c r="I1744" s="1" t="s">
        <v>12</v>
      </c>
      <c r="J1744" s="1" t="s">
        <v>194</v>
      </c>
      <c r="K1744" s="1" t="s">
        <v>14</v>
      </c>
      <c r="L1744" s="1" t="s">
        <v>12</v>
      </c>
      <c r="M1744" s="1" t="s">
        <v>12</v>
      </c>
      <c r="N1744" s="1">
        <v>27.12</v>
      </c>
      <c r="O1744" s="1" t="s">
        <v>24</v>
      </c>
      <c r="P1744" s="1">
        <v>3.75</v>
      </c>
      <c r="Q1744" s="1" t="s">
        <v>16</v>
      </c>
      <c r="R1744" s="1" t="str">
        <f>IF(N1744="","",VLOOKUP(N1744,Prior_levels,2,TRUE))</f>
        <v>M</v>
      </c>
    </row>
    <row r="1745" spans="1:18" x14ac:dyDescent="0.2">
      <c r="A1745" s="1" t="s">
        <v>193</v>
      </c>
      <c r="B1745" s="1" t="s">
        <v>12</v>
      </c>
      <c r="C1745" s="2">
        <v>41155</v>
      </c>
      <c r="D1745" s="1">
        <v>10</v>
      </c>
      <c r="E1745" s="1" t="s">
        <v>52</v>
      </c>
      <c r="I1745" s="1" t="s">
        <v>12</v>
      </c>
      <c r="J1745" s="1" t="s">
        <v>194</v>
      </c>
      <c r="K1745" s="1" t="s">
        <v>14</v>
      </c>
      <c r="L1745" s="1" t="s">
        <v>12</v>
      </c>
      <c r="M1745" s="1" t="s">
        <v>12</v>
      </c>
      <c r="N1745" s="1">
        <v>27.12</v>
      </c>
      <c r="O1745" s="1" t="s">
        <v>25</v>
      </c>
      <c r="P1745" s="1">
        <v>-1.89</v>
      </c>
      <c r="Q1745" s="1" t="s">
        <v>16</v>
      </c>
      <c r="R1745" s="1" t="str">
        <f>IF(N1745="","",VLOOKUP(N1745,Prior_levels,2,TRUE))</f>
        <v>M</v>
      </c>
    </row>
    <row r="1746" spans="1:18" x14ac:dyDescent="0.2">
      <c r="A1746" s="1" t="s">
        <v>193</v>
      </c>
      <c r="B1746" s="1" t="s">
        <v>12</v>
      </c>
      <c r="C1746" s="2">
        <v>41155</v>
      </c>
      <c r="D1746" s="1">
        <v>10</v>
      </c>
      <c r="E1746" s="1" t="s">
        <v>52</v>
      </c>
      <c r="I1746" s="1" t="s">
        <v>12</v>
      </c>
      <c r="J1746" s="1" t="s">
        <v>194</v>
      </c>
      <c r="K1746" s="1" t="s">
        <v>14</v>
      </c>
      <c r="L1746" s="1" t="s">
        <v>12</v>
      </c>
      <c r="M1746" s="1" t="s">
        <v>12</v>
      </c>
      <c r="N1746" s="1">
        <v>27.12</v>
      </c>
      <c r="O1746" s="1" t="s">
        <v>26</v>
      </c>
      <c r="P1746" s="1">
        <v>8</v>
      </c>
      <c r="Q1746" s="1" t="s">
        <v>16</v>
      </c>
      <c r="R1746" s="1" t="str">
        <f>IF(N1746="","",VLOOKUP(N1746,Prior_levels,2,TRUE))</f>
        <v>M</v>
      </c>
    </row>
    <row r="1747" spans="1:18" x14ac:dyDescent="0.2">
      <c r="A1747" s="1" t="s">
        <v>193</v>
      </c>
      <c r="B1747" s="1" t="s">
        <v>12</v>
      </c>
      <c r="C1747" s="2">
        <v>41155</v>
      </c>
      <c r="D1747" s="1">
        <v>10</v>
      </c>
      <c r="E1747" s="1" t="s">
        <v>52</v>
      </c>
      <c r="I1747" s="1" t="s">
        <v>12</v>
      </c>
      <c r="J1747" s="1" t="s">
        <v>194</v>
      </c>
      <c r="K1747" s="1" t="s">
        <v>14</v>
      </c>
      <c r="L1747" s="1" t="s">
        <v>12</v>
      </c>
      <c r="M1747" s="1" t="s">
        <v>12</v>
      </c>
      <c r="N1747" s="1">
        <v>27.12</v>
      </c>
      <c r="O1747" s="1" t="s">
        <v>27</v>
      </c>
      <c r="P1747" s="1" t="s">
        <v>37</v>
      </c>
      <c r="Q1747" s="1" t="s">
        <v>16</v>
      </c>
      <c r="R1747" s="1" t="str">
        <f>IF(N1747="","",VLOOKUP(N1747,Prior_levels,2,TRUE))</f>
        <v>M</v>
      </c>
    </row>
    <row r="1748" spans="1:18" x14ac:dyDescent="0.2">
      <c r="A1748" s="1" t="s">
        <v>193</v>
      </c>
      <c r="B1748" s="1" t="s">
        <v>12</v>
      </c>
      <c r="C1748" s="2">
        <v>41155</v>
      </c>
      <c r="D1748" s="1">
        <v>10</v>
      </c>
      <c r="E1748" s="1" t="s">
        <v>52</v>
      </c>
      <c r="I1748" s="1" t="s">
        <v>12</v>
      </c>
      <c r="J1748" s="1" t="s">
        <v>194</v>
      </c>
      <c r="K1748" s="1" t="s">
        <v>14</v>
      </c>
      <c r="L1748" s="1" t="s">
        <v>12</v>
      </c>
      <c r="M1748" s="1" t="s">
        <v>12</v>
      </c>
      <c r="N1748" s="1">
        <v>27.12</v>
      </c>
      <c r="O1748" s="1" t="s">
        <v>29</v>
      </c>
      <c r="P1748" s="1" t="s">
        <v>37</v>
      </c>
      <c r="Q1748" s="1" t="s">
        <v>16</v>
      </c>
      <c r="R1748" s="1" t="str">
        <f>IF(N1748="","",VLOOKUP(N1748,Prior_levels,2,TRUE))</f>
        <v>M</v>
      </c>
    </row>
    <row r="1749" spans="1:18" x14ac:dyDescent="0.2">
      <c r="A1749" s="1" t="s">
        <v>193</v>
      </c>
      <c r="B1749" s="1" t="s">
        <v>12</v>
      </c>
      <c r="C1749" s="2">
        <v>41155</v>
      </c>
      <c r="D1749" s="1">
        <v>10</v>
      </c>
      <c r="E1749" s="1" t="s">
        <v>52</v>
      </c>
      <c r="I1749" s="1" t="s">
        <v>12</v>
      </c>
      <c r="J1749" s="1" t="s">
        <v>194</v>
      </c>
      <c r="K1749" s="1" t="s">
        <v>14</v>
      </c>
      <c r="L1749" s="1" t="s">
        <v>12</v>
      </c>
      <c r="M1749" s="1" t="s">
        <v>12</v>
      </c>
      <c r="N1749" s="1">
        <v>27.12</v>
      </c>
      <c r="O1749" s="1" t="s">
        <v>30</v>
      </c>
      <c r="P1749" s="1" t="s">
        <v>37</v>
      </c>
      <c r="Q1749" s="1" t="s">
        <v>16</v>
      </c>
      <c r="R1749" s="1" t="str">
        <f>IF(N1749="","",VLOOKUP(N1749,Prior_levels,2,TRUE))</f>
        <v>M</v>
      </c>
    </row>
    <row r="1750" spans="1:18" x14ac:dyDescent="0.2">
      <c r="A1750" s="1" t="s">
        <v>193</v>
      </c>
      <c r="B1750" s="1" t="s">
        <v>12</v>
      </c>
      <c r="C1750" s="2">
        <v>41155</v>
      </c>
      <c r="D1750" s="1">
        <v>10</v>
      </c>
      <c r="E1750" s="1" t="s">
        <v>52</v>
      </c>
      <c r="I1750" s="1" t="s">
        <v>12</v>
      </c>
      <c r="J1750" s="1" t="s">
        <v>194</v>
      </c>
      <c r="K1750" s="1" t="s">
        <v>14</v>
      </c>
      <c r="L1750" s="1" t="s">
        <v>12</v>
      </c>
      <c r="M1750" s="1" t="s">
        <v>12</v>
      </c>
      <c r="N1750" s="1">
        <v>27.12</v>
      </c>
      <c r="O1750" s="1" t="s">
        <v>31</v>
      </c>
      <c r="P1750" s="1" t="s">
        <v>28</v>
      </c>
      <c r="Q1750" s="1" t="s">
        <v>16</v>
      </c>
      <c r="R1750" s="1" t="str">
        <f>IF(N1750="","",VLOOKUP(N1750,Prior_levels,2,TRUE))</f>
        <v>M</v>
      </c>
    </row>
    <row r="1751" spans="1:18" x14ac:dyDescent="0.2">
      <c r="A1751" s="1" t="s">
        <v>193</v>
      </c>
      <c r="B1751" s="1" t="s">
        <v>12</v>
      </c>
      <c r="C1751" s="2">
        <v>41155</v>
      </c>
      <c r="D1751" s="1">
        <v>10</v>
      </c>
      <c r="E1751" s="1" t="s">
        <v>52</v>
      </c>
      <c r="I1751" s="1" t="s">
        <v>12</v>
      </c>
      <c r="J1751" s="1" t="s">
        <v>194</v>
      </c>
      <c r="K1751" s="1" t="s">
        <v>14</v>
      </c>
      <c r="L1751" s="1" t="s">
        <v>12</v>
      </c>
      <c r="M1751" s="1" t="s">
        <v>12</v>
      </c>
      <c r="N1751" s="1">
        <v>27.12</v>
      </c>
      <c r="O1751" s="1" t="s">
        <v>32</v>
      </c>
      <c r="P1751" s="1" t="s">
        <v>37</v>
      </c>
      <c r="Q1751" s="1" t="s">
        <v>16</v>
      </c>
      <c r="R1751" s="1" t="str">
        <f>IF(N1751="","",VLOOKUP(N1751,Prior_levels,2,TRUE))</f>
        <v>M</v>
      </c>
    </row>
    <row r="1752" spans="1:18" x14ac:dyDescent="0.2">
      <c r="A1752" s="1" t="s">
        <v>195</v>
      </c>
      <c r="B1752" s="1" t="s">
        <v>12</v>
      </c>
      <c r="C1752" s="2">
        <v>41155</v>
      </c>
      <c r="D1752" s="1">
        <v>10</v>
      </c>
      <c r="E1752" s="1" t="s">
        <v>47</v>
      </c>
      <c r="H1752" s="1" t="s">
        <v>54</v>
      </c>
      <c r="I1752" s="1" t="s">
        <v>12</v>
      </c>
      <c r="J1752" s="1" t="s">
        <v>196</v>
      </c>
      <c r="K1752" s="1" t="s">
        <v>196</v>
      </c>
      <c r="L1752" s="1" t="s">
        <v>12</v>
      </c>
      <c r="M1752" s="1" t="s">
        <v>12</v>
      </c>
      <c r="N1752" s="1">
        <v>21.12</v>
      </c>
      <c r="O1752" s="1" t="s">
        <v>15</v>
      </c>
      <c r="P1752" s="1">
        <v>3.1</v>
      </c>
      <c r="Q1752" s="1" t="s">
        <v>16</v>
      </c>
      <c r="R1752" s="1" t="str">
        <f>IF(N1752="","",VLOOKUP(N1752,Prior_levels,2,TRUE))</f>
        <v>L</v>
      </c>
    </row>
    <row r="1753" spans="1:18" x14ac:dyDescent="0.2">
      <c r="A1753" s="1" t="s">
        <v>195</v>
      </c>
      <c r="B1753" s="1" t="s">
        <v>12</v>
      </c>
      <c r="C1753" s="2">
        <v>41155</v>
      </c>
      <c r="D1753" s="1">
        <v>10</v>
      </c>
      <c r="E1753" s="1" t="s">
        <v>47</v>
      </c>
      <c r="H1753" s="1" t="s">
        <v>54</v>
      </c>
      <c r="I1753" s="1" t="s">
        <v>12</v>
      </c>
      <c r="J1753" s="1" t="s">
        <v>196</v>
      </c>
      <c r="K1753" s="1" t="s">
        <v>196</v>
      </c>
      <c r="L1753" s="1" t="s">
        <v>12</v>
      </c>
      <c r="M1753" s="1" t="s">
        <v>12</v>
      </c>
      <c r="N1753" s="1">
        <v>21.12</v>
      </c>
      <c r="O1753" s="1" t="s">
        <v>17</v>
      </c>
      <c r="P1753" s="1">
        <v>0.27</v>
      </c>
      <c r="Q1753" s="1" t="s">
        <v>16</v>
      </c>
      <c r="R1753" s="1" t="str">
        <f>IF(N1753="","",VLOOKUP(N1753,Prior_levels,2,TRUE))</f>
        <v>L</v>
      </c>
    </row>
    <row r="1754" spans="1:18" x14ac:dyDescent="0.2">
      <c r="A1754" s="1" t="s">
        <v>195</v>
      </c>
      <c r="B1754" s="1" t="s">
        <v>12</v>
      </c>
      <c r="C1754" s="2">
        <v>41155</v>
      </c>
      <c r="D1754" s="1">
        <v>10</v>
      </c>
      <c r="E1754" s="1" t="s">
        <v>47</v>
      </c>
      <c r="H1754" s="1" t="s">
        <v>54</v>
      </c>
      <c r="I1754" s="1" t="s">
        <v>12</v>
      </c>
      <c r="J1754" s="1" t="s">
        <v>196</v>
      </c>
      <c r="K1754" s="1" t="s">
        <v>196</v>
      </c>
      <c r="L1754" s="1" t="s">
        <v>12</v>
      </c>
      <c r="M1754" s="1" t="s">
        <v>12</v>
      </c>
      <c r="N1754" s="1">
        <v>21.12</v>
      </c>
      <c r="O1754" s="1" t="s">
        <v>18</v>
      </c>
      <c r="P1754" s="1">
        <v>8</v>
      </c>
      <c r="Q1754" s="1" t="s">
        <v>16</v>
      </c>
      <c r="R1754" s="1" t="str">
        <f>IF(N1754="","",VLOOKUP(N1754,Prior_levels,2,TRUE))</f>
        <v>L</v>
      </c>
    </row>
    <row r="1755" spans="1:18" x14ac:dyDescent="0.2">
      <c r="A1755" s="1" t="s">
        <v>195</v>
      </c>
      <c r="B1755" s="1" t="s">
        <v>12</v>
      </c>
      <c r="C1755" s="2">
        <v>41155</v>
      </c>
      <c r="D1755" s="1">
        <v>10</v>
      </c>
      <c r="E1755" s="1" t="s">
        <v>47</v>
      </c>
      <c r="H1755" s="1" t="s">
        <v>54</v>
      </c>
      <c r="I1755" s="1" t="s">
        <v>12</v>
      </c>
      <c r="J1755" s="1" t="s">
        <v>196</v>
      </c>
      <c r="K1755" s="1" t="s">
        <v>196</v>
      </c>
      <c r="L1755" s="1" t="s">
        <v>12</v>
      </c>
      <c r="M1755" s="1" t="s">
        <v>12</v>
      </c>
      <c r="N1755" s="1">
        <v>21.12</v>
      </c>
      <c r="O1755" s="1" t="s">
        <v>19</v>
      </c>
      <c r="P1755" s="1">
        <v>6</v>
      </c>
      <c r="Q1755" s="1" t="s">
        <v>16</v>
      </c>
      <c r="R1755" s="1" t="str">
        <f>IF(N1755="","",VLOOKUP(N1755,Prior_levels,2,TRUE))</f>
        <v>L</v>
      </c>
    </row>
    <row r="1756" spans="1:18" x14ac:dyDescent="0.2">
      <c r="A1756" s="1" t="s">
        <v>195</v>
      </c>
      <c r="B1756" s="1" t="s">
        <v>12</v>
      </c>
      <c r="C1756" s="2">
        <v>41155</v>
      </c>
      <c r="D1756" s="1">
        <v>10</v>
      </c>
      <c r="E1756" s="1" t="s">
        <v>47</v>
      </c>
      <c r="H1756" s="1" t="s">
        <v>54</v>
      </c>
      <c r="I1756" s="1" t="s">
        <v>12</v>
      </c>
      <c r="J1756" s="1" t="s">
        <v>196</v>
      </c>
      <c r="K1756" s="1" t="s">
        <v>196</v>
      </c>
      <c r="L1756" s="1" t="s">
        <v>12</v>
      </c>
      <c r="M1756" s="1" t="s">
        <v>12</v>
      </c>
      <c r="N1756" s="1">
        <v>21.12</v>
      </c>
      <c r="O1756" s="1" t="s">
        <v>20</v>
      </c>
      <c r="P1756" s="1">
        <v>8</v>
      </c>
      <c r="Q1756" s="1" t="s">
        <v>16</v>
      </c>
      <c r="R1756" s="1" t="str">
        <f>IF(N1756="","",VLOOKUP(N1756,Prior_levels,2,TRUE))</f>
        <v>L</v>
      </c>
    </row>
    <row r="1757" spans="1:18" x14ac:dyDescent="0.2">
      <c r="A1757" s="1" t="s">
        <v>195</v>
      </c>
      <c r="B1757" s="1" t="s">
        <v>12</v>
      </c>
      <c r="C1757" s="2">
        <v>41155</v>
      </c>
      <c r="D1757" s="1">
        <v>10</v>
      </c>
      <c r="E1757" s="1" t="s">
        <v>47</v>
      </c>
      <c r="H1757" s="1" t="s">
        <v>54</v>
      </c>
      <c r="I1757" s="1" t="s">
        <v>12</v>
      </c>
      <c r="J1757" s="1" t="s">
        <v>196</v>
      </c>
      <c r="K1757" s="1" t="s">
        <v>196</v>
      </c>
      <c r="L1757" s="1" t="s">
        <v>12</v>
      </c>
      <c r="M1757" s="1" t="s">
        <v>12</v>
      </c>
      <c r="N1757" s="1">
        <v>21.12</v>
      </c>
      <c r="O1757" s="1" t="s">
        <v>21</v>
      </c>
      <c r="P1757" s="1">
        <v>9</v>
      </c>
      <c r="Q1757" s="1" t="s">
        <v>16</v>
      </c>
      <c r="R1757" s="1" t="str">
        <f>IF(N1757="","",VLOOKUP(N1757,Prior_levels,2,TRUE))</f>
        <v>L</v>
      </c>
    </row>
    <row r="1758" spans="1:18" x14ac:dyDescent="0.2">
      <c r="A1758" s="1" t="s">
        <v>195</v>
      </c>
      <c r="B1758" s="1" t="s">
        <v>12</v>
      </c>
      <c r="C1758" s="2">
        <v>41155</v>
      </c>
      <c r="D1758" s="1">
        <v>10</v>
      </c>
      <c r="E1758" s="1" t="s">
        <v>47</v>
      </c>
      <c r="H1758" s="1" t="s">
        <v>54</v>
      </c>
      <c r="I1758" s="1" t="s">
        <v>12</v>
      </c>
      <c r="J1758" s="1" t="s">
        <v>196</v>
      </c>
      <c r="K1758" s="1" t="s">
        <v>196</v>
      </c>
      <c r="L1758" s="1" t="s">
        <v>12</v>
      </c>
      <c r="M1758" s="1" t="s">
        <v>12</v>
      </c>
      <c r="N1758" s="1">
        <v>21.12</v>
      </c>
      <c r="O1758" s="1" t="s">
        <v>22</v>
      </c>
      <c r="P1758" s="1">
        <v>0.34</v>
      </c>
      <c r="Q1758" s="1" t="s">
        <v>16</v>
      </c>
      <c r="R1758" s="1" t="str">
        <f>IF(N1758="","",VLOOKUP(N1758,Prior_levels,2,TRUE))</f>
        <v>L</v>
      </c>
    </row>
    <row r="1759" spans="1:18" x14ac:dyDescent="0.2">
      <c r="A1759" s="1" t="s">
        <v>195</v>
      </c>
      <c r="B1759" s="1" t="s">
        <v>12</v>
      </c>
      <c r="C1759" s="2">
        <v>41155</v>
      </c>
      <c r="D1759" s="1">
        <v>10</v>
      </c>
      <c r="E1759" s="1" t="s">
        <v>47</v>
      </c>
      <c r="H1759" s="1" t="s">
        <v>54</v>
      </c>
      <c r="I1759" s="1" t="s">
        <v>12</v>
      </c>
      <c r="J1759" s="1" t="s">
        <v>196</v>
      </c>
      <c r="K1759" s="1" t="s">
        <v>196</v>
      </c>
      <c r="L1759" s="1" t="s">
        <v>12</v>
      </c>
      <c r="M1759" s="1" t="s">
        <v>12</v>
      </c>
      <c r="N1759" s="1">
        <v>21.12</v>
      </c>
      <c r="O1759" s="1" t="s">
        <v>23</v>
      </c>
      <c r="P1759" s="1">
        <v>0.39</v>
      </c>
      <c r="Q1759" s="1" t="s">
        <v>16</v>
      </c>
      <c r="R1759" s="1" t="str">
        <f>IF(N1759="","",VLOOKUP(N1759,Prior_levels,2,TRUE))</f>
        <v>L</v>
      </c>
    </row>
    <row r="1760" spans="1:18" x14ac:dyDescent="0.2">
      <c r="A1760" s="1" t="s">
        <v>195</v>
      </c>
      <c r="B1760" s="1" t="s">
        <v>12</v>
      </c>
      <c r="C1760" s="2">
        <v>41155</v>
      </c>
      <c r="D1760" s="1">
        <v>10</v>
      </c>
      <c r="E1760" s="1" t="s">
        <v>47</v>
      </c>
      <c r="H1760" s="1" t="s">
        <v>54</v>
      </c>
      <c r="I1760" s="1" t="s">
        <v>12</v>
      </c>
      <c r="J1760" s="1" t="s">
        <v>196</v>
      </c>
      <c r="K1760" s="1" t="s">
        <v>196</v>
      </c>
      <c r="L1760" s="1" t="s">
        <v>12</v>
      </c>
      <c r="M1760" s="1" t="s">
        <v>12</v>
      </c>
      <c r="N1760" s="1">
        <v>21.12</v>
      </c>
      <c r="O1760" s="1" t="s">
        <v>24</v>
      </c>
      <c r="P1760" s="1">
        <v>3.49</v>
      </c>
      <c r="Q1760" s="1" t="s">
        <v>16</v>
      </c>
      <c r="R1760" s="1" t="str">
        <f>IF(N1760="","",VLOOKUP(N1760,Prior_levels,2,TRUE))</f>
        <v>L</v>
      </c>
    </row>
    <row r="1761" spans="1:18" x14ac:dyDescent="0.2">
      <c r="A1761" s="1" t="s">
        <v>195</v>
      </c>
      <c r="B1761" s="1" t="s">
        <v>12</v>
      </c>
      <c r="C1761" s="2">
        <v>41155</v>
      </c>
      <c r="D1761" s="1">
        <v>10</v>
      </c>
      <c r="E1761" s="1" t="s">
        <v>47</v>
      </c>
      <c r="H1761" s="1" t="s">
        <v>54</v>
      </c>
      <c r="I1761" s="1" t="s">
        <v>12</v>
      </c>
      <c r="J1761" s="1" t="s">
        <v>196</v>
      </c>
      <c r="K1761" s="1" t="s">
        <v>196</v>
      </c>
      <c r="L1761" s="1" t="s">
        <v>12</v>
      </c>
      <c r="M1761" s="1" t="s">
        <v>12</v>
      </c>
      <c r="N1761" s="1">
        <v>21.12</v>
      </c>
      <c r="O1761" s="1" t="s">
        <v>25</v>
      </c>
      <c r="P1761" s="1">
        <v>-2.2000000000000002</v>
      </c>
      <c r="Q1761" s="1" t="s">
        <v>16</v>
      </c>
      <c r="R1761" s="1" t="str">
        <f>IF(N1761="","",VLOOKUP(N1761,Prior_levels,2,TRUE))</f>
        <v>L</v>
      </c>
    </row>
    <row r="1762" spans="1:18" x14ac:dyDescent="0.2">
      <c r="A1762" s="1" t="s">
        <v>195</v>
      </c>
      <c r="B1762" s="1" t="s">
        <v>12</v>
      </c>
      <c r="C1762" s="2">
        <v>41155</v>
      </c>
      <c r="D1762" s="1">
        <v>10</v>
      </c>
      <c r="E1762" s="1" t="s">
        <v>47</v>
      </c>
      <c r="H1762" s="1" t="s">
        <v>54</v>
      </c>
      <c r="I1762" s="1" t="s">
        <v>12</v>
      </c>
      <c r="J1762" s="1" t="s">
        <v>196</v>
      </c>
      <c r="K1762" s="1" t="s">
        <v>196</v>
      </c>
      <c r="L1762" s="1" t="s">
        <v>12</v>
      </c>
      <c r="M1762" s="1" t="s">
        <v>12</v>
      </c>
      <c r="N1762" s="1">
        <v>21.12</v>
      </c>
      <c r="O1762" s="1" t="s">
        <v>26</v>
      </c>
      <c r="P1762" s="1">
        <v>0</v>
      </c>
      <c r="Q1762" s="1" t="s">
        <v>16</v>
      </c>
      <c r="R1762" s="1" t="str">
        <f>IF(N1762="","",VLOOKUP(N1762,Prior_levels,2,TRUE))</f>
        <v>L</v>
      </c>
    </row>
    <row r="1763" spans="1:18" x14ac:dyDescent="0.2">
      <c r="A1763" s="1" t="s">
        <v>195</v>
      </c>
      <c r="B1763" s="1" t="s">
        <v>12</v>
      </c>
      <c r="C1763" s="2">
        <v>41155</v>
      </c>
      <c r="D1763" s="1">
        <v>10</v>
      </c>
      <c r="E1763" s="1" t="s">
        <v>47</v>
      </c>
      <c r="H1763" s="1" t="s">
        <v>54</v>
      </c>
      <c r="I1763" s="1" t="s">
        <v>12</v>
      </c>
      <c r="J1763" s="1" t="s">
        <v>196</v>
      </c>
      <c r="K1763" s="1" t="s">
        <v>196</v>
      </c>
      <c r="L1763" s="1" t="s">
        <v>12</v>
      </c>
      <c r="M1763" s="1" t="s">
        <v>12</v>
      </c>
      <c r="N1763" s="1">
        <v>21.12</v>
      </c>
      <c r="O1763" s="1" t="s">
        <v>27</v>
      </c>
      <c r="P1763" s="1" t="s">
        <v>28</v>
      </c>
      <c r="Q1763" s="1" t="s">
        <v>16</v>
      </c>
      <c r="R1763" s="1" t="str">
        <f>IF(N1763="","",VLOOKUP(N1763,Prior_levels,2,TRUE))</f>
        <v>L</v>
      </c>
    </row>
    <row r="1764" spans="1:18" x14ac:dyDescent="0.2">
      <c r="A1764" s="1" t="s">
        <v>195</v>
      </c>
      <c r="B1764" s="1" t="s">
        <v>12</v>
      </c>
      <c r="C1764" s="2">
        <v>41155</v>
      </c>
      <c r="D1764" s="1">
        <v>10</v>
      </c>
      <c r="E1764" s="1" t="s">
        <v>47</v>
      </c>
      <c r="H1764" s="1" t="s">
        <v>54</v>
      </c>
      <c r="I1764" s="1" t="s">
        <v>12</v>
      </c>
      <c r="J1764" s="1" t="s">
        <v>196</v>
      </c>
      <c r="K1764" s="1" t="s">
        <v>196</v>
      </c>
      <c r="L1764" s="1" t="s">
        <v>12</v>
      </c>
      <c r="M1764" s="1" t="s">
        <v>12</v>
      </c>
      <c r="N1764" s="1">
        <v>21.12</v>
      </c>
      <c r="O1764" s="1" t="s">
        <v>29</v>
      </c>
      <c r="P1764" s="1" t="s">
        <v>28</v>
      </c>
      <c r="Q1764" s="1" t="s">
        <v>16</v>
      </c>
      <c r="R1764" s="1" t="str">
        <f>IF(N1764="","",VLOOKUP(N1764,Prior_levels,2,TRUE))</f>
        <v>L</v>
      </c>
    </row>
    <row r="1765" spans="1:18" x14ac:dyDescent="0.2">
      <c r="A1765" s="1" t="s">
        <v>195</v>
      </c>
      <c r="B1765" s="1" t="s">
        <v>12</v>
      </c>
      <c r="C1765" s="2">
        <v>41155</v>
      </c>
      <c r="D1765" s="1">
        <v>10</v>
      </c>
      <c r="E1765" s="1" t="s">
        <v>47</v>
      </c>
      <c r="H1765" s="1" t="s">
        <v>54</v>
      </c>
      <c r="I1765" s="1" t="s">
        <v>12</v>
      </c>
      <c r="J1765" s="1" t="s">
        <v>196</v>
      </c>
      <c r="K1765" s="1" t="s">
        <v>196</v>
      </c>
      <c r="L1765" s="1" t="s">
        <v>12</v>
      </c>
      <c r="M1765" s="1" t="s">
        <v>12</v>
      </c>
      <c r="N1765" s="1">
        <v>21.12</v>
      </c>
      <c r="O1765" s="1" t="s">
        <v>30</v>
      </c>
      <c r="P1765" s="1" t="s">
        <v>28</v>
      </c>
      <c r="Q1765" s="1" t="s">
        <v>16</v>
      </c>
      <c r="R1765" s="1" t="str">
        <f>IF(N1765="","",VLOOKUP(N1765,Prior_levels,2,TRUE))</f>
        <v>L</v>
      </c>
    </row>
    <row r="1766" spans="1:18" x14ac:dyDescent="0.2">
      <c r="A1766" s="1" t="s">
        <v>195</v>
      </c>
      <c r="B1766" s="1" t="s">
        <v>12</v>
      </c>
      <c r="C1766" s="2">
        <v>41155</v>
      </c>
      <c r="D1766" s="1">
        <v>10</v>
      </c>
      <c r="E1766" s="1" t="s">
        <v>47</v>
      </c>
      <c r="H1766" s="1" t="s">
        <v>54</v>
      </c>
      <c r="I1766" s="1" t="s">
        <v>12</v>
      </c>
      <c r="J1766" s="1" t="s">
        <v>196</v>
      </c>
      <c r="K1766" s="1" t="s">
        <v>196</v>
      </c>
      <c r="L1766" s="1" t="s">
        <v>12</v>
      </c>
      <c r="M1766" s="1" t="s">
        <v>12</v>
      </c>
      <c r="N1766" s="1">
        <v>21.12</v>
      </c>
      <c r="O1766" s="1" t="s">
        <v>31</v>
      </c>
      <c r="P1766" s="1" t="s">
        <v>28</v>
      </c>
      <c r="Q1766" s="1" t="s">
        <v>16</v>
      </c>
      <c r="R1766" s="1" t="str">
        <f>IF(N1766="","",VLOOKUP(N1766,Prior_levels,2,TRUE))</f>
        <v>L</v>
      </c>
    </row>
    <row r="1767" spans="1:18" x14ac:dyDescent="0.2">
      <c r="A1767" s="1" t="s">
        <v>195</v>
      </c>
      <c r="B1767" s="1" t="s">
        <v>12</v>
      </c>
      <c r="C1767" s="2">
        <v>41155</v>
      </c>
      <c r="D1767" s="1">
        <v>10</v>
      </c>
      <c r="E1767" s="1" t="s">
        <v>47</v>
      </c>
      <c r="H1767" s="1" t="s">
        <v>54</v>
      </c>
      <c r="I1767" s="1" t="s">
        <v>12</v>
      </c>
      <c r="J1767" s="1" t="s">
        <v>196</v>
      </c>
      <c r="K1767" s="1" t="s">
        <v>196</v>
      </c>
      <c r="L1767" s="1" t="s">
        <v>12</v>
      </c>
      <c r="M1767" s="1" t="s">
        <v>12</v>
      </c>
      <c r="N1767" s="1">
        <v>21.12</v>
      </c>
      <c r="O1767" s="1" t="s">
        <v>32</v>
      </c>
      <c r="P1767" s="1" t="s">
        <v>28</v>
      </c>
      <c r="Q1767" s="1" t="s">
        <v>16</v>
      </c>
      <c r="R1767" s="1" t="str">
        <f>IF(N1767="","",VLOOKUP(N1767,Prior_levels,2,TRUE))</f>
        <v>L</v>
      </c>
    </row>
    <row r="1768" spans="1:18" x14ac:dyDescent="0.2">
      <c r="A1768" s="1" t="s">
        <v>197</v>
      </c>
      <c r="B1768" s="1" t="s">
        <v>12</v>
      </c>
      <c r="C1768" s="2">
        <v>41155</v>
      </c>
      <c r="D1768" s="1">
        <v>10</v>
      </c>
      <c r="E1768" s="1" t="s">
        <v>42</v>
      </c>
      <c r="H1768" s="1" t="s">
        <v>54</v>
      </c>
      <c r="I1768" s="1" t="s">
        <v>12</v>
      </c>
      <c r="J1768" s="1" t="s">
        <v>160</v>
      </c>
      <c r="K1768" s="1" t="s">
        <v>160</v>
      </c>
      <c r="L1768" s="1" t="s">
        <v>12</v>
      </c>
      <c r="M1768" s="1" t="s">
        <v>12</v>
      </c>
      <c r="N1768" s="1">
        <v>21.12</v>
      </c>
      <c r="O1768" s="1" t="s">
        <v>15</v>
      </c>
      <c r="P1768" s="1">
        <v>3.8</v>
      </c>
      <c r="Q1768" s="1" t="s">
        <v>16</v>
      </c>
      <c r="R1768" s="1" t="str">
        <f>IF(N1768="","",VLOOKUP(N1768,Prior_levels,2,TRUE))</f>
        <v>L</v>
      </c>
    </row>
    <row r="1769" spans="1:18" x14ac:dyDescent="0.2">
      <c r="A1769" s="1" t="s">
        <v>197</v>
      </c>
      <c r="B1769" s="1" t="s">
        <v>12</v>
      </c>
      <c r="C1769" s="2">
        <v>41155</v>
      </c>
      <c r="D1769" s="1">
        <v>10</v>
      </c>
      <c r="E1769" s="1" t="s">
        <v>42</v>
      </c>
      <c r="H1769" s="1" t="s">
        <v>54</v>
      </c>
      <c r="I1769" s="1" t="s">
        <v>12</v>
      </c>
      <c r="J1769" s="1" t="s">
        <v>160</v>
      </c>
      <c r="K1769" s="1" t="s">
        <v>160</v>
      </c>
      <c r="L1769" s="1" t="s">
        <v>12</v>
      </c>
      <c r="M1769" s="1" t="s">
        <v>12</v>
      </c>
      <c r="N1769" s="1">
        <v>21.12</v>
      </c>
      <c r="O1769" s="1" t="s">
        <v>17</v>
      </c>
      <c r="P1769" s="1">
        <v>0.97</v>
      </c>
      <c r="Q1769" s="1" t="s">
        <v>16</v>
      </c>
      <c r="R1769" s="1" t="str">
        <f>IF(N1769="","",VLOOKUP(N1769,Prior_levels,2,TRUE))</f>
        <v>L</v>
      </c>
    </row>
    <row r="1770" spans="1:18" x14ac:dyDescent="0.2">
      <c r="A1770" s="1" t="s">
        <v>197</v>
      </c>
      <c r="B1770" s="1" t="s">
        <v>12</v>
      </c>
      <c r="C1770" s="2">
        <v>41155</v>
      </c>
      <c r="D1770" s="1">
        <v>10</v>
      </c>
      <c r="E1770" s="1" t="s">
        <v>42</v>
      </c>
      <c r="H1770" s="1" t="s">
        <v>54</v>
      </c>
      <c r="I1770" s="1" t="s">
        <v>12</v>
      </c>
      <c r="J1770" s="1" t="s">
        <v>160</v>
      </c>
      <c r="K1770" s="1" t="s">
        <v>160</v>
      </c>
      <c r="L1770" s="1" t="s">
        <v>12</v>
      </c>
      <c r="M1770" s="1" t="s">
        <v>12</v>
      </c>
      <c r="N1770" s="1">
        <v>21.12</v>
      </c>
      <c r="O1770" s="1" t="s">
        <v>18</v>
      </c>
      <c r="P1770" s="1">
        <v>10</v>
      </c>
      <c r="Q1770" s="1" t="s">
        <v>16</v>
      </c>
      <c r="R1770" s="1" t="str">
        <f>IF(N1770="","",VLOOKUP(N1770,Prior_levels,2,TRUE))</f>
        <v>L</v>
      </c>
    </row>
    <row r="1771" spans="1:18" x14ac:dyDescent="0.2">
      <c r="A1771" s="1" t="s">
        <v>197</v>
      </c>
      <c r="B1771" s="1" t="s">
        <v>12</v>
      </c>
      <c r="C1771" s="2">
        <v>41155</v>
      </c>
      <c r="D1771" s="1">
        <v>10</v>
      </c>
      <c r="E1771" s="1" t="s">
        <v>42</v>
      </c>
      <c r="H1771" s="1" t="s">
        <v>54</v>
      </c>
      <c r="I1771" s="1" t="s">
        <v>12</v>
      </c>
      <c r="J1771" s="1" t="s">
        <v>160</v>
      </c>
      <c r="K1771" s="1" t="s">
        <v>160</v>
      </c>
      <c r="L1771" s="1" t="s">
        <v>12</v>
      </c>
      <c r="M1771" s="1" t="s">
        <v>12</v>
      </c>
      <c r="N1771" s="1">
        <v>21.12</v>
      </c>
      <c r="O1771" s="1" t="s">
        <v>19</v>
      </c>
      <c r="P1771" s="1">
        <v>6</v>
      </c>
      <c r="Q1771" s="1" t="s">
        <v>16</v>
      </c>
      <c r="R1771" s="1" t="str">
        <f>IF(N1771="","",VLOOKUP(N1771,Prior_levels,2,TRUE))</f>
        <v>L</v>
      </c>
    </row>
    <row r="1772" spans="1:18" x14ac:dyDescent="0.2">
      <c r="A1772" s="1" t="s">
        <v>197</v>
      </c>
      <c r="B1772" s="1" t="s">
        <v>12</v>
      </c>
      <c r="C1772" s="2">
        <v>41155</v>
      </c>
      <c r="D1772" s="1">
        <v>10</v>
      </c>
      <c r="E1772" s="1" t="s">
        <v>42</v>
      </c>
      <c r="H1772" s="1" t="s">
        <v>54</v>
      </c>
      <c r="I1772" s="1" t="s">
        <v>12</v>
      </c>
      <c r="J1772" s="1" t="s">
        <v>160</v>
      </c>
      <c r="K1772" s="1" t="s">
        <v>160</v>
      </c>
      <c r="L1772" s="1" t="s">
        <v>12</v>
      </c>
      <c r="M1772" s="1" t="s">
        <v>12</v>
      </c>
      <c r="N1772" s="1">
        <v>21.12</v>
      </c>
      <c r="O1772" s="1" t="s">
        <v>20</v>
      </c>
      <c r="P1772" s="1">
        <v>9</v>
      </c>
      <c r="Q1772" s="1" t="s">
        <v>16</v>
      </c>
      <c r="R1772" s="1" t="str">
        <f>IF(N1772="","",VLOOKUP(N1772,Prior_levels,2,TRUE))</f>
        <v>L</v>
      </c>
    </row>
    <row r="1773" spans="1:18" x14ac:dyDescent="0.2">
      <c r="A1773" s="1" t="s">
        <v>197</v>
      </c>
      <c r="B1773" s="1" t="s">
        <v>12</v>
      </c>
      <c r="C1773" s="2">
        <v>41155</v>
      </c>
      <c r="D1773" s="1">
        <v>10</v>
      </c>
      <c r="E1773" s="1" t="s">
        <v>42</v>
      </c>
      <c r="H1773" s="1" t="s">
        <v>54</v>
      </c>
      <c r="I1773" s="1" t="s">
        <v>12</v>
      </c>
      <c r="J1773" s="1" t="s">
        <v>160</v>
      </c>
      <c r="K1773" s="1" t="s">
        <v>160</v>
      </c>
      <c r="L1773" s="1" t="s">
        <v>12</v>
      </c>
      <c r="M1773" s="1" t="s">
        <v>12</v>
      </c>
      <c r="N1773" s="1">
        <v>21.12</v>
      </c>
      <c r="O1773" s="1" t="s">
        <v>21</v>
      </c>
      <c r="P1773" s="1">
        <v>13</v>
      </c>
      <c r="Q1773" s="1" t="s">
        <v>16</v>
      </c>
      <c r="R1773" s="1" t="str">
        <f>IF(N1773="","",VLOOKUP(N1773,Prior_levels,2,TRUE))</f>
        <v>L</v>
      </c>
    </row>
    <row r="1774" spans="1:18" x14ac:dyDescent="0.2">
      <c r="A1774" s="1" t="s">
        <v>197</v>
      </c>
      <c r="B1774" s="1" t="s">
        <v>12</v>
      </c>
      <c r="C1774" s="2">
        <v>41155</v>
      </c>
      <c r="D1774" s="1">
        <v>10</v>
      </c>
      <c r="E1774" s="1" t="s">
        <v>42</v>
      </c>
      <c r="H1774" s="1" t="s">
        <v>54</v>
      </c>
      <c r="I1774" s="1" t="s">
        <v>12</v>
      </c>
      <c r="J1774" s="1" t="s">
        <v>160</v>
      </c>
      <c r="K1774" s="1" t="s">
        <v>160</v>
      </c>
      <c r="L1774" s="1" t="s">
        <v>12</v>
      </c>
      <c r="M1774" s="1" t="s">
        <v>12</v>
      </c>
      <c r="N1774" s="1">
        <v>21.12</v>
      </c>
      <c r="O1774" s="1" t="s">
        <v>22</v>
      </c>
      <c r="P1774" s="1">
        <v>1.34</v>
      </c>
      <c r="Q1774" s="1" t="s">
        <v>16</v>
      </c>
      <c r="R1774" s="1" t="str">
        <f>IF(N1774="","",VLOOKUP(N1774,Prior_levels,2,TRUE))</f>
        <v>L</v>
      </c>
    </row>
    <row r="1775" spans="1:18" x14ac:dyDescent="0.2">
      <c r="A1775" s="1" t="s">
        <v>197</v>
      </c>
      <c r="B1775" s="1" t="s">
        <v>12</v>
      </c>
      <c r="C1775" s="2">
        <v>41155</v>
      </c>
      <c r="D1775" s="1">
        <v>10</v>
      </c>
      <c r="E1775" s="1" t="s">
        <v>42</v>
      </c>
      <c r="H1775" s="1" t="s">
        <v>54</v>
      </c>
      <c r="I1775" s="1" t="s">
        <v>12</v>
      </c>
      <c r="J1775" s="1" t="s">
        <v>160</v>
      </c>
      <c r="K1775" s="1" t="s">
        <v>160</v>
      </c>
      <c r="L1775" s="1" t="s">
        <v>12</v>
      </c>
      <c r="M1775" s="1" t="s">
        <v>12</v>
      </c>
      <c r="N1775" s="1">
        <v>21.12</v>
      </c>
      <c r="O1775" s="1" t="s">
        <v>23</v>
      </c>
      <c r="P1775" s="1">
        <v>0.39</v>
      </c>
      <c r="Q1775" s="1" t="s">
        <v>16</v>
      </c>
      <c r="R1775" s="1" t="str">
        <f>IF(N1775="","",VLOOKUP(N1775,Prior_levels,2,TRUE))</f>
        <v>L</v>
      </c>
    </row>
    <row r="1776" spans="1:18" x14ac:dyDescent="0.2">
      <c r="A1776" s="1" t="s">
        <v>197</v>
      </c>
      <c r="B1776" s="1" t="s">
        <v>12</v>
      </c>
      <c r="C1776" s="2">
        <v>41155</v>
      </c>
      <c r="D1776" s="1">
        <v>10</v>
      </c>
      <c r="E1776" s="1" t="s">
        <v>42</v>
      </c>
      <c r="H1776" s="1" t="s">
        <v>54</v>
      </c>
      <c r="I1776" s="1" t="s">
        <v>12</v>
      </c>
      <c r="J1776" s="1" t="s">
        <v>160</v>
      </c>
      <c r="K1776" s="1" t="s">
        <v>160</v>
      </c>
      <c r="L1776" s="1" t="s">
        <v>12</v>
      </c>
      <c r="M1776" s="1" t="s">
        <v>12</v>
      </c>
      <c r="N1776" s="1">
        <v>21.12</v>
      </c>
      <c r="O1776" s="1" t="s">
        <v>24</v>
      </c>
      <c r="P1776" s="1">
        <v>4.49</v>
      </c>
      <c r="Q1776" s="1" t="s">
        <v>16</v>
      </c>
      <c r="R1776" s="1" t="str">
        <f>IF(N1776="","",VLOOKUP(N1776,Prior_levels,2,TRUE))</f>
        <v>L</v>
      </c>
    </row>
    <row r="1777" spans="1:18" x14ac:dyDescent="0.2">
      <c r="A1777" s="1" t="s">
        <v>197</v>
      </c>
      <c r="B1777" s="1" t="s">
        <v>12</v>
      </c>
      <c r="C1777" s="2">
        <v>41155</v>
      </c>
      <c r="D1777" s="1">
        <v>10</v>
      </c>
      <c r="E1777" s="1" t="s">
        <v>42</v>
      </c>
      <c r="H1777" s="1" t="s">
        <v>54</v>
      </c>
      <c r="I1777" s="1" t="s">
        <v>12</v>
      </c>
      <c r="J1777" s="1" t="s">
        <v>160</v>
      </c>
      <c r="K1777" s="1" t="s">
        <v>160</v>
      </c>
      <c r="L1777" s="1" t="s">
        <v>12</v>
      </c>
      <c r="M1777" s="1" t="s">
        <v>12</v>
      </c>
      <c r="N1777" s="1">
        <v>21.12</v>
      </c>
      <c r="O1777" s="1" t="s">
        <v>25</v>
      </c>
      <c r="P1777" s="1">
        <v>1.8</v>
      </c>
      <c r="Q1777" s="1" t="s">
        <v>16</v>
      </c>
      <c r="R1777" s="1" t="str">
        <f>IF(N1777="","",VLOOKUP(N1777,Prior_levels,2,TRUE))</f>
        <v>L</v>
      </c>
    </row>
    <row r="1778" spans="1:18" x14ac:dyDescent="0.2">
      <c r="A1778" s="1" t="s">
        <v>197</v>
      </c>
      <c r="B1778" s="1" t="s">
        <v>12</v>
      </c>
      <c r="C1778" s="2">
        <v>41155</v>
      </c>
      <c r="D1778" s="1">
        <v>10</v>
      </c>
      <c r="E1778" s="1" t="s">
        <v>42</v>
      </c>
      <c r="H1778" s="1" t="s">
        <v>54</v>
      </c>
      <c r="I1778" s="1" t="s">
        <v>12</v>
      </c>
      <c r="J1778" s="1" t="s">
        <v>160</v>
      </c>
      <c r="K1778" s="1" t="s">
        <v>160</v>
      </c>
      <c r="L1778" s="1" t="s">
        <v>12</v>
      </c>
      <c r="M1778" s="1" t="s">
        <v>12</v>
      </c>
      <c r="N1778" s="1">
        <v>21.12</v>
      </c>
      <c r="O1778" s="1" t="s">
        <v>26</v>
      </c>
      <c r="P1778" s="1">
        <v>5</v>
      </c>
      <c r="Q1778" s="1" t="s">
        <v>16</v>
      </c>
      <c r="R1778" s="1" t="str">
        <f>IF(N1778="","",VLOOKUP(N1778,Prior_levels,2,TRUE))</f>
        <v>L</v>
      </c>
    </row>
    <row r="1779" spans="1:18" x14ac:dyDescent="0.2">
      <c r="A1779" s="1" t="s">
        <v>197</v>
      </c>
      <c r="B1779" s="1" t="s">
        <v>12</v>
      </c>
      <c r="C1779" s="2">
        <v>41155</v>
      </c>
      <c r="D1779" s="1">
        <v>10</v>
      </c>
      <c r="E1779" s="1" t="s">
        <v>42</v>
      </c>
      <c r="H1779" s="1" t="s">
        <v>54</v>
      </c>
      <c r="I1779" s="1" t="s">
        <v>12</v>
      </c>
      <c r="J1779" s="1" t="s">
        <v>160</v>
      </c>
      <c r="K1779" s="1" t="s">
        <v>160</v>
      </c>
      <c r="L1779" s="1" t="s">
        <v>12</v>
      </c>
      <c r="M1779" s="1" t="s">
        <v>12</v>
      </c>
      <c r="N1779" s="1">
        <v>21.12</v>
      </c>
      <c r="O1779" s="1" t="s">
        <v>32</v>
      </c>
      <c r="P1779" s="1" t="s">
        <v>28</v>
      </c>
      <c r="Q1779" s="1" t="s">
        <v>16</v>
      </c>
      <c r="R1779" s="1" t="str">
        <f>IF(N1779="","",VLOOKUP(N1779,Prior_levels,2,TRUE))</f>
        <v>L</v>
      </c>
    </row>
    <row r="1780" spans="1:18" x14ac:dyDescent="0.2">
      <c r="A1780" s="1" t="s">
        <v>197</v>
      </c>
      <c r="B1780" s="1" t="s">
        <v>12</v>
      </c>
      <c r="C1780" s="2">
        <v>41155</v>
      </c>
      <c r="D1780" s="1">
        <v>10</v>
      </c>
      <c r="E1780" s="1" t="s">
        <v>42</v>
      </c>
      <c r="H1780" s="1" t="s">
        <v>54</v>
      </c>
      <c r="I1780" s="1" t="s">
        <v>12</v>
      </c>
      <c r="J1780" s="1" t="s">
        <v>160</v>
      </c>
      <c r="K1780" s="1" t="s">
        <v>160</v>
      </c>
      <c r="L1780" s="1" t="s">
        <v>12</v>
      </c>
      <c r="M1780" s="1" t="s">
        <v>12</v>
      </c>
      <c r="N1780" s="1">
        <v>21.12</v>
      </c>
      <c r="O1780" s="1" t="s">
        <v>27</v>
      </c>
      <c r="P1780" s="1" t="s">
        <v>28</v>
      </c>
      <c r="Q1780" s="1" t="s">
        <v>16</v>
      </c>
      <c r="R1780" s="1" t="str">
        <f>IF(N1780="","",VLOOKUP(N1780,Prior_levels,2,TRUE))</f>
        <v>L</v>
      </c>
    </row>
    <row r="1781" spans="1:18" x14ac:dyDescent="0.2">
      <c r="A1781" s="1" t="s">
        <v>197</v>
      </c>
      <c r="B1781" s="1" t="s">
        <v>12</v>
      </c>
      <c r="C1781" s="2">
        <v>41155</v>
      </c>
      <c r="D1781" s="1">
        <v>10</v>
      </c>
      <c r="E1781" s="1" t="s">
        <v>42</v>
      </c>
      <c r="H1781" s="1" t="s">
        <v>54</v>
      </c>
      <c r="I1781" s="1" t="s">
        <v>12</v>
      </c>
      <c r="J1781" s="1" t="s">
        <v>160</v>
      </c>
      <c r="K1781" s="1" t="s">
        <v>160</v>
      </c>
      <c r="L1781" s="1" t="s">
        <v>12</v>
      </c>
      <c r="M1781" s="1" t="s">
        <v>12</v>
      </c>
      <c r="N1781" s="1">
        <v>21.12</v>
      </c>
      <c r="O1781" s="1" t="s">
        <v>29</v>
      </c>
      <c r="P1781" s="1" t="s">
        <v>37</v>
      </c>
      <c r="Q1781" s="1" t="s">
        <v>16</v>
      </c>
      <c r="R1781" s="1" t="str">
        <f>IF(N1781="","",VLOOKUP(N1781,Prior_levels,2,TRUE))</f>
        <v>L</v>
      </c>
    </row>
    <row r="1782" spans="1:18" x14ac:dyDescent="0.2">
      <c r="A1782" s="1" t="s">
        <v>197</v>
      </c>
      <c r="B1782" s="1" t="s">
        <v>12</v>
      </c>
      <c r="C1782" s="2">
        <v>41155</v>
      </c>
      <c r="D1782" s="1">
        <v>10</v>
      </c>
      <c r="E1782" s="1" t="s">
        <v>42</v>
      </c>
      <c r="H1782" s="1" t="s">
        <v>54</v>
      </c>
      <c r="I1782" s="1" t="s">
        <v>12</v>
      </c>
      <c r="J1782" s="1" t="s">
        <v>160</v>
      </c>
      <c r="K1782" s="1" t="s">
        <v>160</v>
      </c>
      <c r="L1782" s="1" t="s">
        <v>12</v>
      </c>
      <c r="M1782" s="1" t="s">
        <v>12</v>
      </c>
      <c r="N1782" s="1">
        <v>21.12</v>
      </c>
      <c r="O1782" s="1" t="s">
        <v>30</v>
      </c>
      <c r="P1782" s="1" t="s">
        <v>28</v>
      </c>
      <c r="Q1782" s="1" t="s">
        <v>16</v>
      </c>
      <c r="R1782" s="1" t="str">
        <f>IF(N1782="","",VLOOKUP(N1782,Prior_levels,2,TRUE))</f>
        <v>L</v>
      </c>
    </row>
    <row r="1783" spans="1:18" x14ac:dyDescent="0.2">
      <c r="A1783" s="1" t="s">
        <v>197</v>
      </c>
      <c r="B1783" s="1" t="s">
        <v>12</v>
      </c>
      <c r="C1783" s="2">
        <v>41155</v>
      </c>
      <c r="D1783" s="1">
        <v>10</v>
      </c>
      <c r="E1783" s="1" t="s">
        <v>42</v>
      </c>
      <c r="H1783" s="1" t="s">
        <v>54</v>
      </c>
      <c r="I1783" s="1" t="s">
        <v>12</v>
      </c>
      <c r="J1783" s="1" t="s">
        <v>160</v>
      </c>
      <c r="K1783" s="1" t="s">
        <v>160</v>
      </c>
      <c r="L1783" s="1" t="s">
        <v>12</v>
      </c>
      <c r="M1783" s="1" t="s">
        <v>12</v>
      </c>
      <c r="N1783" s="1">
        <v>21.12</v>
      </c>
      <c r="O1783" s="1" t="s">
        <v>31</v>
      </c>
      <c r="P1783" s="1" t="s">
        <v>28</v>
      </c>
      <c r="Q1783" s="1" t="s">
        <v>16</v>
      </c>
      <c r="R1783" s="1" t="str">
        <f>IF(N1783="","",VLOOKUP(N1783,Prior_levels,2,TRUE))</f>
        <v>L</v>
      </c>
    </row>
    <row r="1784" spans="1:18" x14ac:dyDescent="0.2">
      <c r="A1784" s="1" t="s">
        <v>198</v>
      </c>
      <c r="B1784" s="1" t="s">
        <v>12</v>
      </c>
      <c r="C1784" s="2">
        <v>41155</v>
      </c>
      <c r="D1784" s="1">
        <v>10</v>
      </c>
      <c r="E1784" s="1" t="s">
        <v>34</v>
      </c>
      <c r="H1784" s="1" t="s">
        <v>54</v>
      </c>
      <c r="I1784" s="1" t="s">
        <v>12</v>
      </c>
      <c r="J1784" s="1" t="s">
        <v>43</v>
      </c>
      <c r="K1784" s="1" t="s">
        <v>199</v>
      </c>
      <c r="L1784" s="1" t="s">
        <v>12</v>
      </c>
      <c r="M1784" s="1" t="s">
        <v>12</v>
      </c>
      <c r="N1784" s="1">
        <v>21.12</v>
      </c>
      <c r="O1784" s="1" t="s">
        <v>15</v>
      </c>
      <c r="P1784" s="1">
        <v>4.0999999999999996</v>
      </c>
      <c r="Q1784" s="1" t="s">
        <v>16</v>
      </c>
      <c r="R1784" s="1" t="str">
        <f>IF(N1784="","",VLOOKUP(N1784,Prior_levels,2,TRUE))</f>
        <v>L</v>
      </c>
    </row>
    <row r="1785" spans="1:18" x14ac:dyDescent="0.2">
      <c r="A1785" s="1" t="s">
        <v>198</v>
      </c>
      <c r="B1785" s="1" t="s">
        <v>12</v>
      </c>
      <c r="C1785" s="2">
        <v>41155</v>
      </c>
      <c r="D1785" s="1">
        <v>10</v>
      </c>
      <c r="E1785" s="1" t="s">
        <v>34</v>
      </c>
      <c r="H1785" s="1" t="s">
        <v>54</v>
      </c>
      <c r="I1785" s="1" t="s">
        <v>12</v>
      </c>
      <c r="J1785" s="1" t="s">
        <v>43</v>
      </c>
      <c r="K1785" s="1" t="s">
        <v>199</v>
      </c>
      <c r="L1785" s="1" t="s">
        <v>12</v>
      </c>
      <c r="M1785" s="1" t="s">
        <v>12</v>
      </c>
      <c r="N1785" s="1">
        <v>21.12</v>
      </c>
      <c r="O1785" s="1" t="s">
        <v>17</v>
      </c>
      <c r="P1785" s="1">
        <v>1.27</v>
      </c>
      <c r="Q1785" s="1" t="s">
        <v>16</v>
      </c>
      <c r="R1785" s="1" t="str">
        <f>IF(N1785="","",VLOOKUP(N1785,Prior_levels,2,TRUE))</f>
        <v>L</v>
      </c>
    </row>
    <row r="1786" spans="1:18" x14ac:dyDescent="0.2">
      <c r="A1786" s="1" t="s">
        <v>198</v>
      </c>
      <c r="B1786" s="1" t="s">
        <v>12</v>
      </c>
      <c r="C1786" s="2">
        <v>41155</v>
      </c>
      <c r="D1786" s="1">
        <v>10</v>
      </c>
      <c r="E1786" s="1" t="s">
        <v>34</v>
      </c>
      <c r="H1786" s="1" t="s">
        <v>54</v>
      </c>
      <c r="I1786" s="1" t="s">
        <v>12</v>
      </c>
      <c r="J1786" s="1" t="s">
        <v>43</v>
      </c>
      <c r="K1786" s="1" t="s">
        <v>199</v>
      </c>
      <c r="L1786" s="1" t="s">
        <v>12</v>
      </c>
      <c r="M1786" s="1" t="s">
        <v>12</v>
      </c>
      <c r="N1786" s="1">
        <v>21.12</v>
      </c>
      <c r="O1786" s="1" t="s">
        <v>18</v>
      </c>
      <c r="P1786" s="1">
        <v>10</v>
      </c>
      <c r="Q1786" s="1" t="s">
        <v>16</v>
      </c>
      <c r="R1786" s="1" t="str">
        <f>IF(N1786="","",VLOOKUP(N1786,Prior_levels,2,TRUE))</f>
        <v>L</v>
      </c>
    </row>
    <row r="1787" spans="1:18" x14ac:dyDescent="0.2">
      <c r="A1787" s="1" t="s">
        <v>198</v>
      </c>
      <c r="B1787" s="1" t="s">
        <v>12</v>
      </c>
      <c r="C1787" s="2">
        <v>41155</v>
      </c>
      <c r="D1787" s="1">
        <v>10</v>
      </c>
      <c r="E1787" s="1" t="s">
        <v>34</v>
      </c>
      <c r="H1787" s="1" t="s">
        <v>54</v>
      </c>
      <c r="I1787" s="1" t="s">
        <v>12</v>
      </c>
      <c r="J1787" s="1" t="s">
        <v>43</v>
      </c>
      <c r="K1787" s="1" t="s">
        <v>199</v>
      </c>
      <c r="L1787" s="1" t="s">
        <v>12</v>
      </c>
      <c r="M1787" s="1" t="s">
        <v>12</v>
      </c>
      <c r="N1787" s="1">
        <v>21.12</v>
      </c>
      <c r="O1787" s="1" t="s">
        <v>19</v>
      </c>
      <c r="P1787" s="1">
        <v>8</v>
      </c>
      <c r="Q1787" s="1" t="s">
        <v>16</v>
      </c>
      <c r="R1787" s="1" t="str">
        <f>IF(N1787="","",VLOOKUP(N1787,Prior_levels,2,TRUE))</f>
        <v>L</v>
      </c>
    </row>
    <row r="1788" spans="1:18" x14ac:dyDescent="0.2">
      <c r="A1788" s="1" t="s">
        <v>198</v>
      </c>
      <c r="B1788" s="1" t="s">
        <v>12</v>
      </c>
      <c r="C1788" s="2">
        <v>41155</v>
      </c>
      <c r="D1788" s="1">
        <v>10</v>
      </c>
      <c r="E1788" s="1" t="s">
        <v>34</v>
      </c>
      <c r="H1788" s="1" t="s">
        <v>54</v>
      </c>
      <c r="I1788" s="1" t="s">
        <v>12</v>
      </c>
      <c r="J1788" s="1" t="s">
        <v>43</v>
      </c>
      <c r="K1788" s="1" t="s">
        <v>199</v>
      </c>
      <c r="L1788" s="1" t="s">
        <v>12</v>
      </c>
      <c r="M1788" s="1" t="s">
        <v>12</v>
      </c>
      <c r="N1788" s="1">
        <v>21.12</v>
      </c>
      <c r="O1788" s="1" t="s">
        <v>20</v>
      </c>
      <c r="P1788" s="1">
        <v>10</v>
      </c>
      <c r="Q1788" s="1" t="s">
        <v>16</v>
      </c>
      <c r="R1788" s="1" t="str">
        <f>IF(N1788="","",VLOOKUP(N1788,Prior_levels,2,TRUE))</f>
        <v>L</v>
      </c>
    </row>
    <row r="1789" spans="1:18" x14ac:dyDescent="0.2">
      <c r="A1789" s="1" t="s">
        <v>198</v>
      </c>
      <c r="B1789" s="1" t="s">
        <v>12</v>
      </c>
      <c r="C1789" s="2">
        <v>41155</v>
      </c>
      <c r="D1789" s="1">
        <v>10</v>
      </c>
      <c r="E1789" s="1" t="s">
        <v>34</v>
      </c>
      <c r="H1789" s="1" t="s">
        <v>54</v>
      </c>
      <c r="I1789" s="1" t="s">
        <v>12</v>
      </c>
      <c r="J1789" s="1" t="s">
        <v>43</v>
      </c>
      <c r="K1789" s="1" t="s">
        <v>199</v>
      </c>
      <c r="L1789" s="1" t="s">
        <v>12</v>
      </c>
      <c r="M1789" s="1" t="s">
        <v>12</v>
      </c>
      <c r="N1789" s="1">
        <v>21.12</v>
      </c>
      <c r="O1789" s="1" t="s">
        <v>21</v>
      </c>
      <c r="P1789" s="1">
        <v>13</v>
      </c>
      <c r="Q1789" s="1" t="s">
        <v>16</v>
      </c>
      <c r="R1789" s="1" t="str">
        <f>IF(N1789="","",VLOOKUP(N1789,Prior_levels,2,TRUE))</f>
        <v>L</v>
      </c>
    </row>
    <row r="1790" spans="1:18" x14ac:dyDescent="0.2">
      <c r="A1790" s="1" t="s">
        <v>198</v>
      </c>
      <c r="B1790" s="1" t="s">
        <v>12</v>
      </c>
      <c r="C1790" s="2">
        <v>41155</v>
      </c>
      <c r="D1790" s="1">
        <v>10</v>
      </c>
      <c r="E1790" s="1" t="s">
        <v>34</v>
      </c>
      <c r="H1790" s="1" t="s">
        <v>54</v>
      </c>
      <c r="I1790" s="1" t="s">
        <v>12</v>
      </c>
      <c r="J1790" s="1" t="s">
        <v>43</v>
      </c>
      <c r="K1790" s="1" t="s">
        <v>199</v>
      </c>
      <c r="L1790" s="1" t="s">
        <v>12</v>
      </c>
      <c r="M1790" s="1" t="s">
        <v>12</v>
      </c>
      <c r="N1790" s="1">
        <v>21.12</v>
      </c>
      <c r="O1790" s="1" t="s">
        <v>22</v>
      </c>
      <c r="P1790" s="1">
        <v>1.34</v>
      </c>
      <c r="Q1790" s="1" t="s">
        <v>16</v>
      </c>
      <c r="R1790" s="1" t="str">
        <f>IF(N1790="","",VLOOKUP(N1790,Prior_levels,2,TRUE))</f>
        <v>L</v>
      </c>
    </row>
    <row r="1791" spans="1:18" x14ac:dyDescent="0.2">
      <c r="A1791" s="1" t="s">
        <v>198</v>
      </c>
      <c r="B1791" s="1" t="s">
        <v>12</v>
      </c>
      <c r="C1791" s="2">
        <v>41155</v>
      </c>
      <c r="D1791" s="1">
        <v>10</v>
      </c>
      <c r="E1791" s="1" t="s">
        <v>34</v>
      </c>
      <c r="H1791" s="1" t="s">
        <v>54</v>
      </c>
      <c r="I1791" s="1" t="s">
        <v>12</v>
      </c>
      <c r="J1791" s="1" t="s">
        <v>43</v>
      </c>
      <c r="K1791" s="1" t="s">
        <v>199</v>
      </c>
      <c r="L1791" s="1" t="s">
        <v>12</v>
      </c>
      <c r="M1791" s="1" t="s">
        <v>12</v>
      </c>
      <c r="N1791" s="1">
        <v>21.12</v>
      </c>
      <c r="O1791" s="1" t="s">
        <v>23</v>
      </c>
      <c r="P1791" s="1">
        <v>1.39</v>
      </c>
      <c r="Q1791" s="1" t="s">
        <v>16</v>
      </c>
      <c r="R1791" s="1" t="str">
        <f>IF(N1791="","",VLOOKUP(N1791,Prior_levels,2,TRUE))</f>
        <v>L</v>
      </c>
    </row>
    <row r="1792" spans="1:18" x14ac:dyDescent="0.2">
      <c r="A1792" s="1" t="s">
        <v>198</v>
      </c>
      <c r="B1792" s="1" t="s">
        <v>12</v>
      </c>
      <c r="C1792" s="2">
        <v>41155</v>
      </c>
      <c r="D1792" s="1">
        <v>10</v>
      </c>
      <c r="E1792" s="1" t="s">
        <v>34</v>
      </c>
      <c r="H1792" s="1" t="s">
        <v>54</v>
      </c>
      <c r="I1792" s="1" t="s">
        <v>12</v>
      </c>
      <c r="J1792" s="1" t="s">
        <v>43</v>
      </c>
      <c r="K1792" s="1" t="s">
        <v>199</v>
      </c>
      <c r="L1792" s="1" t="s">
        <v>12</v>
      </c>
      <c r="M1792" s="1" t="s">
        <v>12</v>
      </c>
      <c r="N1792" s="1">
        <v>21.12</v>
      </c>
      <c r="O1792" s="1" t="s">
        <v>25</v>
      </c>
      <c r="P1792" s="1">
        <v>1.8</v>
      </c>
      <c r="Q1792" s="1" t="s">
        <v>16</v>
      </c>
      <c r="R1792" s="1" t="str">
        <f>IF(N1792="","",VLOOKUP(N1792,Prior_levels,2,TRUE))</f>
        <v>L</v>
      </c>
    </row>
    <row r="1793" spans="1:18" x14ac:dyDescent="0.2">
      <c r="A1793" s="1" t="s">
        <v>198</v>
      </c>
      <c r="B1793" s="1" t="s">
        <v>12</v>
      </c>
      <c r="C1793" s="2">
        <v>41155</v>
      </c>
      <c r="D1793" s="1">
        <v>10</v>
      </c>
      <c r="E1793" s="1" t="s">
        <v>34</v>
      </c>
      <c r="H1793" s="1" t="s">
        <v>54</v>
      </c>
      <c r="I1793" s="1" t="s">
        <v>12</v>
      </c>
      <c r="J1793" s="1" t="s">
        <v>43</v>
      </c>
      <c r="K1793" s="1" t="s">
        <v>199</v>
      </c>
      <c r="L1793" s="1" t="s">
        <v>12</v>
      </c>
      <c r="M1793" s="1" t="s">
        <v>12</v>
      </c>
      <c r="N1793" s="1">
        <v>21.12</v>
      </c>
      <c r="O1793" s="1" t="s">
        <v>26</v>
      </c>
      <c r="P1793" s="1">
        <v>5</v>
      </c>
      <c r="Q1793" s="1" t="s">
        <v>16</v>
      </c>
      <c r="R1793" s="1" t="str">
        <f>IF(N1793="","",VLOOKUP(N1793,Prior_levels,2,TRUE))</f>
        <v>L</v>
      </c>
    </row>
    <row r="1794" spans="1:18" x14ac:dyDescent="0.2">
      <c r="A1794" s="1" t="s">
        <v>198</v>
      </c>
      <c r="B1794" s="1" t="s">
        <v>12</v>
      </c>
      <c r="C1794" s="2">
        <v>41155</v>
      </c>
      <c r="D1794" s="1">
        <v>10</v>
      </c>
      <c r="E1794" s="1" t="s">
        <v>34</v>
      </c>
      <c r="H1794" s="1" t="s">
        <v>54</v>
      </c>
      <c r="I1794" s="1" t="s">
        <v>12</v>
      </c>
      <c r="J1794" s="1" t="s">
        <v>43</v>
      </c>
      <c r="K1794" s="1" t="s">
        <v>199</v>
      </c>
      <c r="L1794" s="1" t="s">
        <v>12</v>
      </c>
      <c r="M1794" s="1" t="s">
        <v>12</v>
      </c>
      <c r="N1794" s="1">
        <v>21.12</v>
      </c>
      <c r="O1794" s="1" t="s">
        <v>24</v>
      </c>
      <c r="P1794" s="1">
        <v>5.49</v>
      </c>
      <c r="Q1794" s="1" t="s">
        <v>16</v>
      </c>
      <c r="R1794" s="1" t="str">
        <f>IF(N1794="","",VLOOKUP(N1794,Prior_levels,2,TRUE))</f>
        <v>L</v>
      </c>
    </row>
    <row r="1795" spans="1:18" x14ac:dyDescent="0.2">
      <c r="A1795" s="1" t="s">
        <v>198</v>
      </c>
      <c r="B1795" s="1" t="s">
        <v>12</v>
      </c>
      <c r="C1795" s="2">
        <v>41155</v>
      </c>
      <c r="D1795" s="1">
        <v>10</v>
      </c>
      <c r="E1795" s="1" t="s">
        <v>34</v>
      </c>
      <c r="H1795" s="1" t="s">
        <v>54</v>
      </c>
      <c r="I1795" s="1" t="s">
        <v>12</v>
      </c>
      <c r="J1795" s="1" t="s">
        <v>43</v>
      </c>
      <c r="K1795" s="1" t="s">
        <v>199</v>
      </c>
      <c r="L1795" s="1" t="s">
        <v>12</v>
      </c>
      <c r="M1795" s="1" t="s">
        <v>12</v>
      </c>
      <c r="N1795" s="1">
        <v>21.12</v>
      </c>
      <c r="O1795" s="1" t="s">
        <v>27</v>
      </c>
      <c r="P1795" s="1" t="s">
        <v>28</v>
      </c>
      <c r="Q1795" s="1" t="s">
        <v>16</v>
      </c>
      <c r="R1795" s="1" t="str">
        <f>IF(N1795="","",VLOOKUP(N1795,Prior_levels,2,TRUE))</f>
        <v>L</v>
      </c>
    </row>
    <row r="1796" spans="1:18" x14ac:dyDescent="0.2">
      <c r="A1796" s="1" t="s">
        <v>198</v>
      </c>
      <c r="B1796" s="1" t="s">
        <v>12</v>
      </c>
      <c r="C1796" s="2">
        <v>41155</v>
      </c>
      <c r="D1796" s="1">
        <v>10</v>
      </c>
      <c r="E1796" s="1" t="s">
        <v>34</v>
      </c>
      <c r="H1796" s="1" t="s">
        <v>54</v>
      </c>
      <c r="I1796" s="1" t="s">
        <v>12</v>
      </c>
      <c r="J1796" s="1" t="s">
        <v>43</v>
      </c>
      <c r="K1796" s="1" t="s">
        <v>199</v>
      </c>
      <c r="L1796" s="1" t="s">
        <v>12</v>
      </c>
      <c r="M1796" s="1" t="s">
        <v>12</v>
      </c>
      <c r="N1796" s="1">
        <v>21.12</v>
      </c>
      <c r="O1796" s="1" t="s">
        <v>29</v>
      </c>
      <c r="P1796" s="1" t="s">
        <v>37</v>
      </c>
      <c r="Q1796" s="1" t="s">
        <v>16</v>
      </c>
      <c r="R1796" s="1" t="str">
        <f>IF(N1796="","",VLOOKUP(N1796,Prior_levels,2,TRUE))</f>
        <v>L</v>
      </c>
    </row>
    <row r="1797" spans="1:18" x14ac:dyDescent="0.2">
      <c r="A1797" s="1" t="s">
        <v>198</v>
      </c>
      <c r="B1797" s="1" t="s">
        <v>12</v>
      </c>
      <c r="C1797" s="2">
        <v>41155</v>
      </c>
      <c r="D1797" s="1">
        <v>10</v>
      </c>
      <c r="E1797" s="1" t="s">
        <v>34</v>
      </c>
      <c r="H1797" s="1" t="s">
        <v>54</v>
      </c>
      <c r="I1797" s="1" t="s">
        <v>12</v>
      </c>
      <c r="J1797" s="1" t="s">
        <v>43</v>
      </c>
      <c r="K1797" s="1" t="s">
        <v>199</v>
      </c>
      <c r="L1797" s="1" t="s">
        <v>12</v>
      </c>
      <c r="M1797" s="1" t="s">
        <v>12</v>
      </c>
      <c r="N1797" s="1">
        <v>21.12</v>
      </c>
      <c r="O1797" s="1" t="s">
        <v>30</v>
      </c>
      <c r="P1797" s="1" t="s">
        <v>28</v>
      </c>
      <c r="Q1797" s="1" t="s">
        <v>16</v>
      </c>
      <c r="R1797" s="1" t="str">
        <f>IF(N1797="","",VLOOKUP(N1797,Prior_levels,2,TRUE))</f>
        <v>L</v>
      </c>
    </row>
    <row r="1798" spans="1:18" x14ac:dyDescent="0.2">
      <c r="A1798" s="1" t="s">
        <v>198</v>
      </c>
      <c r="B1798" s="1" t="s">
        <v>12</v>
      </c>
      <c r="C1798" s="2">
        <v>41155</v>
      </c>
      <c r="D1798" s="1">
        <v>10</v>
      </c>
      <c r="E1798" s="1" t="s">
        <v>34</v>
      </c>
      <c r="H1798" s="1" t="s">
        <v>54</v>
      </c>
      <c r="I1798" s="1" t="s">
        <v>12</v>
      </c>
      <c r="J1798" s="1" t="s">
        <v>43</v>
      </c>
      <c r="K1798" s="1" t="s">
        <v>199</v>
      </c>
      <c r="L1798" s="1" t="s">
        <v>12</v>
      </c>
      <c r="M1798" s="1" t="s">
        <v>12</v>
      </c>
      <c r="N1798" s="1">
        <v>21.12</v>
      </c>
      <c r="O1798" s="1" t="s">
        <v>31</v>
      </c>
      <c r="P1798" s="1" t="s">
        <v>28</v>
      </c>
      <c r="Q1798" s="1" t="s">
        <v>16</v>
      </c>
      <c r="R1798" s="1" t="str">
        <f>IF(N1798="","",VLOOKUP(N1798,Prior_levels,2,TRUE))</f>
        <v>L</v>
      </c>
    </row>
    <row r="1799" spans="1:18" x14ac:dyDescent="0.2">
      <c r="A1799" s="1" t="s">
        <v>198</v>
      </c>
      <c r="B1799" s="1" t="s">
        <v>12</v>
      </c>
      <c r="C1799" s="2">
        <v>41155</v>
      </c>
      <c r="D1799" s="1">
        <v>10</v>
      </c>
      <c r="E1799" s="1" t="s">
        <v>34</v>
      </c>
      <c r="H1799" s="1" t="s">
        <v>54</v>
      </c>
      <c r="I1799" s="1" t="s">
        <v>12</v>
      </c>
      <c r="J1799" s="1" t="s">
        <v>43</v>
      </c>
      <c r="K1799" s="1" t="s">
        <v>199</v>
      </c>
      <c r="L1799" s="1" t="s">
        <v>12</v>
      </c>
      <c r="M1799" s="1" t="s">
        <v>12</v>
      </c>
      <c r="N1799" s="1">
        <v>21.12</v>
      </c>
      <c r="O1799" s="1" t="s">
        <v>32</v>
      </c>
      <c r="P1799" s="1" t="s">
        <v>28</v>
      </c>
      <c r="Q1799" s="1" t="s">
        <v>16</v>
      </c>
      <c r="R1799" s="1" t="str">
        <f>IF(N1799="","",VLOOKUP(N1799,Prior_levels,2,TRUE))</f>
        <v>L</v>
      </c>
    </row>
    <row r="1800" spans="1:18" x14ac:dyDescent="0.2">
      <c r="A1800" s="1" t="s">
        <v>200</v>
      </c>
      <c r="B1800" s="1" t="s">
        <v>12</v>
      </c>
      <c r="C1800" s="2">
        <v>41155</v>
      </c>
      <c r="D1800" s="1">
        <v>10</v>
      </c>
      <c r="E1800" s="1" t="s">
        <v>52</v>
      </c>
      <c r="H1800" s="1" t="s">
        <v>54</v>
      </c>
      <c r="I1800" s="1" t="s">
        <v>12</v>
      </c>
      <c r="J1800" s="1" t="s">
        <v>201</v>
      </c>
      <c r="K1800" s="1" t="s">
        <v>14</v>
      </c>
      <c r="L1800" s="1" t="s">
        <v>12</v>
      </c>
      <c r="M1800" s="1" t="s">
        <v>12</v>
      </c>
      <c r="N1800" s="1">
        <v>33.18</v>
      </c>
      <c r="O1800" s="1" t="s">
        <v>15</v>
      </c>
      <c r="P1800" s="1">
        <v>6.85</v>
      </c>
      <c r="Q1800" s="1" t="s">
        <v>16</v>
      </c>
      <c r="R1800" s="1" t="str">
        <f>IF(N1800="","",VLOOKUP(N1800,Prior_levels,2,TRUE))</f>
        <v>H</v>
      </c>
    </row>
    <row r="1801" spans="1:18" x14ac:dyDescent="0.2">
      <c r="A1801" s="1" t="s">
        <v>200</v>
      </c>
      <c r="B1801" s="1" t="s">
        <v>12</v>
      </c>
      <c r="C1801" s="2">
        <v>41155</v>
      </c>
      <c r="D1801" s="1">
        <v>10</v>
      </c>
      <c r="E1801" s="1" t="s">
        <v>52</v>
      </c>
      <c r="H1801" s="1" t="s">
        <v>54</v>
      </c>
      <c r="I1801" s="1" t="s">
        <v>12</v>
      </c>
      <c r="J1801" s="1" t="s">
        <v>201</v>
      </c>
      <c r="K1801" s="1" t="s">
        <v>14</v>
      </c>
      <c r="L1801" s="1" t="s">
        <v>12</v>
      </c>
      <c r="M1801" s="1" t="s">
        <v>12</v>
      </c>
      <c r="N1801" s="1">
        <v>33.18</v>
      </c>
      <c r="O1801" s="1" t="s">
        <v>17</v>
      </c>
      <c r="P1801" s="1">
        <v>0.3</v>
      </c>
      <c r="Q1801" s="1" t="s">
        <v>16</v>
      </c>
      <c r="R1801" s="1" t="str">
        <f>IF(N1801="","",VLOOKUP(N1801,Prior_levels,2,TRUE))</f>
        <v>H</v>
      </c>
    </row>
    <row r="1802" spans="1:18" x14ac:dyDescent="0.2">
      <c r="A1802" s="1" t="s">
        <v>200</v>
      </c>
      <c r="B1802" s="1" t="s">
        <v>12</v>
      </c>
      <c r="C1802" s="2">
        <v>41155</v>
      </c>
      <c r="D1802" s="1">
        <v>10</v>
      </c>
      <c r="E1802" s="1" t="s">
        <v>52</v>
      </c>
      <c r="H1802" s="1" t="s">
        <v>54</v>
      </c>
      <c r="I1802" s="1" t="s">
        <v>12</v>
      </c>
      <c r="J1802" s="1" t="s">
        <v>201</v>
      </c>
      <c r="K1802" s="1" t="s">
        <v>14</v>
      </c>
      <c r="L1802" s="1" t="s">
        <v>12</v>
      </c>
      <c r="M1802" s="1" t="s">
        <v>12</v>
      </c>
      <c r="N1802" s="1">
        <v>33.18</v>
      </c>
      <c r="O1802" s="1" t="s">
        <v>18</v>
      </c>
      <c r="P1802" s="1">
        <v>14</v>
      </c>
      <c r="Q1802" s="1" t="s">
        <v>16</v>
      </c>
      <c r="R1802" s="1" t="str">
        <f>IF(N1802="","",VLOOKUP(N1802,Prior_levels,2,TRUE))</f>
        <v>H</v>
      </c>
    </row>
    <row r="1803" spans="1:18" x14ac:dyDescent="0.2">
      <c r="A1803" s="1" t="s">
        <v>200</v>
      </c>
      <c r="B1803" s="1" t="s">
        <v>12</v>
      </c>
      <c r="C1803" s="2">
        <v>41155</v>
      </c>
      <c r="D1803" s="1">
        <v>10</v>
      </c>
      <c r="E1803" s="1" t="s">
        <v>52</v>
      </c>
      <c r="H1803" s="1" t="s">
        <v>54</v>
      </c>
      <c r="I1803" s="1" t="s">
        <v>12</v>
      </c>
      <c r="J1803" s="1" t="s">
        <v>201</v>
      </c>
      <c r="K1803" s="1" t="s">
        <v>14</v>
      </c>
      <c r="L1803" s="1" t="s">
        <v>12</v>
      </c>
      <c r="M1803" s="1" t="s">
        <v>12</v>
      </c>
      <c r="N1803" s="1">
        <v>33.18</v>
      </c>
      <c r="O1803" s="1" t="s">
        <v>19</v>
      </c>
      <c r="P1803" s="1">
        <v>14</v>
      </c>
      <c r="Q1803" s="1" t="s">
        <v>16</v>
      </c>
      <c r="R1803" s="1" t="str">
        <f>IF(N1803="","",VLOOKUP(N1803,Prior_levels,2,TRUE))</f>
        <v>H</v>
      </c>
    </row>
    <row r="1804" spans="1:18" x14ac:dyDescent="0.2">
      <c r="A1804" s="1" t="s">
        <v>200</v>
      </c>
      <c r="B1804" s="1" t="s">
        <v>12</v>
      </c>
      <c r="C1804" s="2">
        <v>41155</v>
      </c>
      <c r="D1804" s="1">
        <v>10</v>
      </c>
      <c r="E1804" s="1" t="s">
        <v>52</v>
      </c>
      <c r="H1804" s="1" t="s">
        <v>54</v>
      </c>
      <c r="I1804" s="1" t="s">
        <v>12</v>
      </c>
      <c r="J1804" s="1" t="s">
        <v>201</v>
      </c>
      <c r="K1804" s="1" t="s">
        <v>14</v>
      </c>
      <c r="L1804" s="1" t="s">
        <v>12</v>
      </c>
      <c r="M1804" s="1" t="s">
        <v>12</v>
      </c>
      <c r="N1804" s="1">
        <v>33.18</v>
      </c>
      <c r="O1804" s="1" t="s">
        <v>20</v>
      </c>
      <c r="P1804" s="1">
        <v>21</v>
      </c>
      <c r="Q1804" s="1" t="s">
        <v>16</v>
      </c>
      <c r="R1804" s="1" t="str">
        <f>IF(N1804="","",VLOOKUP(N1804,Prior_levels,2,TRUE))</f>
        <v>H</v>
      </c>
    </row>
    <row r="1805" spans="1:18" x14ac:dyDescent="0.2">
      <c r="A1805" s="1" t="s">
        <v>200</v>
      </c>
      <c r="B1805" s="1" t="s">
        <v>12</v>
      </c>
      <c r="C1805" s="2">
        <v>41155</v>
      </c>
      <c r="D1805" s="1">
        <v>10</v>
      </c>
      <c r="E1805" s="1" t="s">
        <v>52</v>
      </c>
      <c r="H1805" s="1" t="s">
        <v>54</v>
      </c>
      <c r="I1805" s="1" t="s">
        <v>12</v>
      </c>
      <c r="J1805" s="1" t="s">
        <v>201</v>
      </c>
      <c r="K1805" s="1" t="s">
        <v>14</v>
      </c>
      <c r="L1805" s="1" t="s">
        <v>12</v>
      </c>
      <c r="M1805" s="1" t="s">
        <v>12</v>
      </c>
      <c r="N1805" s="1">
        <v>33.18</v>
      </c>
      <c r="O1805" s="1" t="s">
        <v>21</v>
      </c>
      <c r="P1805" s="1">
        <v>19.5</v>
      </c>
      <c r="Q1805" s="1" t="s">
        <v>16</v>
      </c>
      <c r="R1805" s="1" t="str">
        <f>IF(N1805="","",VLOOKUP(N1805,Prior_levels,2,TRUE))</f>
        <v>H</v>
      </c>
    </row>
    <row r="1806" spans="1:18" x14ac:dyDescent="0.2">
      <c r="A1806" s="1" t="s">
        <v>200</v>
      </c>
      <c r="B1806" s="1" t="s">
        <v>12</v>
      </c>
      <c r="C1806" s="2">
        <v>41155</v>
      </c>
      <c r="D1806" s="1">
        <v>10</v>
      </c>
      <c r="E1806" s="1" t="s">
        <v>52</v>
      </c>
      <c r="H1806" s="1" t="s">
        <v>54</v>
      </c>
      <c r="I1806" s="1" t="s">
        <v>12</v>
      </c>
      <c r="J1806" s="1" t="s">
        <v>201</v>
      </c>
      <c r="K1806" s="1" t="s">
        <v>14</v>
      </c>
      <c r="L1806" s="1" t="s">
        <v>12</v>
      </c>
      <c r="M1806" s="1" t="s">
        <v>12</v>
      </c>
      <c r="N1806" s="1">
        <v>33.18</v>
      </c>
      <c r="O1806" s="1" t="s">
        <v>22</v>
      </c>
      <c r="P1806" s="1">
        <v>0.36</v>
      </c>
      <c r="Q1806" s="1" t="s">
        <v>16</v>
      </c>
      <c r="R1806" s="1" t="str">
        <f>IF(N1806="","",VLOOKUP(N1806,Prior_levels,2,TRUE))</f>
        <v>H</v>
      </c>
    </row>
    <row r="1807" spans="1:18" x14ac:dyDescent="0.2">
      <c r="A1807" s="1" t="s">
        <v>200</v>
      </c>
      <c r="B1807" s="1" t="s">
        <v>12</v>
      </c>
      <c r="C1807" s="2">
        <v>41155</v>
      </c>
      <c r="D1807" s="1">
        <v>10</v>
      </c>
      <c r="E1807" s="1" t="s">
        <v>52</v>
      </c>
      <c r="H1807" s="1" t="s">
        <v>54</v>
      </c>
      <c r="I1807" s="1" t="s">
        <v>12</v>
      </c>
      <c r="J1807" s="1" t="s">
        <v>201</v>
      </c>
      <c r="K1807" s="1" t="s">
        <v>14</v>
      </c>
      <c r="L1807" s="1" t="s">
        <v>12</v>
      </c>
      <c r="M1807" s="1" t="s">
        <v>12</v>
      </c>
      <c r="N1807" s="1">
        <v>33.18</v>
      </c>
      <c r="O1807" s="1" t="s">
        <v>23</v>
      </c>
      <c r="P1807" s="1">
        <v>0.34</v>
      </c>
      <c r="Q1807" s="1" t="s">
        <v>16</v>
      </c>
      <c r="R1807" s="1" t="str">
        <f>IF(N1807="","",VLOOKUP(N1807,Prior_levels,2,TRUE))</f>
        <v>H</v>
      </c>
    </row>
    <row r="1808" spans="1:18" x14ac:dyDescent="0.2">
      <c r="A1808" s="1" t="s">
        <v>200</v>
      </c>
      <c r="B1808" s="1" t="s">
        <v>12</v>
      </c>
      <c r="C1808" s="2">
        <v>41155</v>
      </c>
      <c r="D1808" s="1">
        <v>10</v>
      </c>
      <c r="E1808" s="1" t="s">
        <v>52</v>
      </c>
      <c r="H1808" s="1" t="s">
        <v>54</v>
      </c>
      <c r="I1808" s="1" t="s">
        <v>12</v>
      </c>
      <c r="J1808" s="1" t="s">
        <v>201</v>
      </c>
      <c r="K1808" s="1" t="s">
        <v>14</v>
      </c>
      <c r="L1808" s="1" t="s">
        <v>12</v>
      </c>
      <c r="M1808" s="1" t="s">
        <v>12</v>
      </c>
      <c r="N1808" s="1">
        <v>33.18</v>
      </c>
      <c r="O1808" s="1" t="s">
        <v>25</v>
      </c>
      <c r="P1808" s="1">
        <v>-0.12</v>
      </c>
      <c r="Q1808" s="1" t="s">
        <v>16</v>
      </c>
      <c r="R1808" s="1" t="str">
        <f>IF(N1808="","",VLOOKUP(N1808,Prior_levels,2,TRUE))</f>
        <v>H</v>
      </c>
    </row>
    <row r="1809" spans="1:18" x14ac:dyDescent="0.2">
      <c r="A1809" s="1" t="s">
        <v>200</v>
      </c>
      <c r="B1809" s="1" t="s">
        <v>12</v>
      </c>
      <c r="C1809" s="2">
        <v>41155</v>
      </c>
      <c r="D1809" s="1">
        <v>10</v>
      </c>
      <c r="E1809" s="1" t="s">
        <v>52</v>
      </c>
      <c r="H1809" s="1" t="s">
        <v>54</v>
      </c>
      <c r="I1809" s="1" t="s">
        <v>12</v>
      </c>
      <c r="J1809" s="1" t="s">
        <v>201</v>
      </c>
      <c r="K1809" s="1" t="s">
        <v>14</v>
      </c>
      <c r="L1809" s="1" t="s">
        <v>12</v>
      </c>
      <c r="M1809" s="1" t="s">
        <v>12</v>
      </c>
      <c r="N1809" s="1">
        <v>33.18</v>
      </c>
      <c r="O1809" s="1" t="s">
        <v>26</v>
      </c>
      <c r="P1809" s="1">
        <v>8</v>
      </c>
      <c r="Q1809" s="1" t="s">
        <v>16</v>
      </c>
      <c r="R1809" s="1" t="str">
        <f>IF(N1809="","",VLOOKUP(N1809,Prior_levels,2,TRUE))</f>
        <v>H</v>
      </c>
    </row>
    <row r="1810" spans="1:18" x14ac:dyDescent="0.2">
      <c r="A1810" s="1" t="s">
        <v>200</v>
      </c>
      <c r="B1810" s="1" t="s">
        <v>12</v>
      </c>
      <c r="C1810" s="2">
        <v>41155</v>
      </c>
      <c r="D1810" s="1">
        <v>10</v>
      </c>
      <c r="E1810" s="1" t="s">
        <v>52</v>
      </c>
      <c r="H1810" s="1" t="s">
        <v>54</v>
      </c>
      <c r="I1810" s="1" t="s">
        <v>12</v>
      </c>
      <c r="J1810" s="1" t="s">
        <v>201</v>
      </c>
      <c r="K1810" s="1" t="s">
        <v>14</v>
      </c>
      <c r="L1810" s="1" t="s">
        <v>12</v>
      </c>
      <c r="M1810" s="1" t="s">
        <v>12</v>
      </c>
      <c r="N1810" s="1">
        <v>33.18</v>
      </c>
      <c r="O1810" s="1" t="s">
        <v>24</v>
      </c>
      <c r="P1810" s="1">
        <v>1.73</v>
      </c>
      <c r="Q1810" s="1" t="s">
        <v>16</v>
      </c>
      <c r="R1810" s="1" t="str">
        <f>IF(N1810="","",VLOOKUP(N1810,Prior_levels,2,TRUE))</f>
        <v>H</v>
      </c>
    </row>
    <row r="1811" spans="1:18" x14ac:dyDescent="0.2">
      <c r="A1811" s="1" t="s">
        <v>200</v>
      </c>
      <c r="B1811" s="1" t="s">
        <v>12</v>
      </c>
      <c r="C1811" s="2">
        <v>41155</v>
      </c>
      <c r="D1811" s="1">
        <v>10</v>
      </c>
      <c r="E1811" s="1" t="s">
        <v>52</v>
      </c>
      <c r="H1811" s="1" t="s">
        <v>54</v>
      </c>
      <c r="I1811" s="1" t="s">
        <v>12</v>
      </c>
      <c r="J1811" s="1" t="s">
        <v>201</v>
      </c>
      <c r="K1811" s="1" t="s">
        <v>14</v>
      </c>
      <c r="L1811" s="1" t="s">
        <v>12</v>
      </c>
      <c r="M1811" s="1" t="s">
        <v>12</v>
      </c>
      <c r="N1811" s="1">
        <v>33.18</v>
      </c>
      <c r="O1811" s="1" t="s">
        <v>27</v>
      </c>
      <c r="P1811" s="1" t="s">
        <v>37</v>
      </c>
      <c r="Q1811" s="1" t="s">
        <v>16</v>
      </c>
      <c r="R1811" s="1" t="str">
        <f>IF(N1811="","",VLOOKUP(N1811,Prior_levels,2,TRUE))</f>
        <v>H</v>
      </c>
    </row>
    <row r="1812" spans="1:18" x14ac:dyDescent="0.2">
      <c r="A1812" s="1" t="s">
        <v>200</v>
      </c>
      <c r="B1812" s="1" t="s">
        <v>12</v>
      </c>
      <c r="C1812" s="2">
        <v>41155</v>
      </c>
      <c r="D1812" s="1">
        <v>10</v>
      </c>
      <c r="E1812" s="1" t="s">
        <v>52</v>
      </c>
      <c r="H1812" s="1" t="s">
        <v>54</v>
      </c>
      <c r="I1812" s="1" t="s">
        <v>12</v>
      </c>
      <c r="J1812" s="1" t="s">
        <v>201</v>
      </c>
      <c r="K1812" s="1" t="s">
        <v>14</v>
      </c>
      <c r="L1812" s="1" t="s">
        <v>12</v>
      </c>
      <c r="M1812" s="1" t="s">
        <v>12</v>
      </c>
      <c r="N1812" s="1">
        <v>33.18</v>
      </c>
      <c r="O1812" s="1" t="s">
        <v>29</v>
      </c>
      <c r="P1812" s="1" t="s">
        <v>37</v>
      </c>
      <c r="Q1812" s="1" t="s">
        <v>16</v>
      </c>
      <c r="R1812" s="1" t="str">
        <f>IF(N1812="","",VLOOKUP(N1812,Prior_levels,2,TRUE))</f>
        <v>H</v>
      </c>
    </row>
    <row r="1813" spans="1:18" x14ac:dyDescent="0.2">
      <c r="A1813" s="1" t="s">
        <v>200</v>
      </c>
      <c r="B1813" s="1" t="s">
        <v>12</v>
      </c>
      <c r="C1813" s="2">
        <v>41155</v>
      </c>
      <c r="D1813" s="1">
        <v>10</v>
      </c>
      <c r="E1813" s="1" t="s">
        <v>52</v>
      </c>
      <c r="H1813" s="1" t="s">
        <v>54</v>
      </c>
      <c r="I1813" s="1" t="s">
        <v>12</v>
      </c>
      <c r="J1813" s="1" t="s">
        <v>201</v>
      </c>
      <c r="K1813" s="1" t="s">
        <v>14</v>
      </c>
      <c r="L1813" s="1" t="s">
        <v>12</v>
      </c>
      <c r="M1813" s="1" t="s">
        <v>12</v>
      </c>
      <c r="N1813" s="1">
        <v>33.18</v>
      </c>
      <c r="O1813" s="1" t="s">
        <v>30</v>
      </c>
      <c r="P1813" s="1" t="s">
        <v>37</v>
      </c>
      <c r="Q1813" s="1" t="s">
        <v>16</v>
      </c>
      <c r="R1813" s="1" t="str">
        <f>IF(N1813="","",VLOOKUP(N1813,Prior_levels,2,TRUE))</f>
        <v>H</v>
      </c>
    </row>
    <row r="1814" spans="1:18" x14ac:dyDescent="0.2">
      <c r="A1814" s="1" t="s">
        <v>200</v>
      </c>
      <c r="B1814" s="1" t="s">
        <v>12</v>
      </c>
      <c r="C1814" s="2">
        <v>41155</v>
      </c>
      <c r="D1814" s="1">
        <v>10</v>
      </c>
      <c r="E1814" s="1" t="s">
        <v>52</v>
      </c>
      <c r="H1814" s="1" t="s">
        <v>54</v>
      </c>
      <c r="I1814" s="1" t="s">
        <v>12</v>
      </c>
      <c r="J1814" s="1" t="s">
        <v>201</v>
      </c>
      <c r="K1814" s="1" t="s">
        <v>14</v>
      </c>
      <c r="L1814" s="1" t="s">
        <v>12</v>
      </c>
      <c r="M1814" s="1" t="s">
        <v>12</v>
      </c>
      <c r="N1814" s="1">
        <v>33.18</v>
      </c>
      <c r="O1814" s="1" t="s">
        <v>31</v>
      </c>
      <c r="P1814" s="1" t="s">
        <v>28</v>
      </c>
      <c r="Q1814" s="1" t="s">
        <v>16</v>
      </c>
      <c r="R1814" s="1" t="str">
        <f>IF(N1814="","",VLOOKUP(N1814,Prior_levels,2,TRUE))</f>
        <v>H</v>
      </c>
    </row>
    <row r="1815" spans="1:18" x14ac:dyDescent="0.2">
      <c r="A1815" s="1" t="s">
        <v>200</v>
      </c>
      <c r="B1815" s="1" t="s">
        <v>12</v>
      </c>
      <c r="C1815" s="2">
        <v>41155</v>
      </c>
      <c r="D1815" s="1">
        <v>10</v>
      </c>
      <c r="E1815" s="1" t="s">
        <v>52</v>
      </c>
      <c r="H1815" s="1" t="s">
        <v>54</v>
      </c>
      <c r="I1815" s="1" t="s">
        <v>12</v>
      </c>
      <c r="J1815" s="1" t="s">
        <v>201</v>
      </c>
      <c r="K1815" s="1" t="s">
        <v>14</v>
      </c>
      <c r="L1815" s="1" t="s">
        <v>12</v>
      </c>
      <c r="M1815" s="1" t="s">
        <v>12</v>
      </c>
      <c r="N1815" s="1">
        <v>33.18</v>
      </c>
      <c r="O1815" s="1" t="s">
        <v>32</v>
      </c>
      <c r="P1815" s="1" t="s">
        <v>37</v>
      </c>
      <c r="Q1815" s="1" t="s">
        <v>16</v>
      </c>
      <c r="R1815" s="1" t="str">
        <f>IF(N1815="","",VLOOKUP(N1815,Prior_levels,2,TRUE))</f>
        <v>H</v>
      </c>
    </row>
    <row r="1816" spans="1:18" x14ac:dyDescent="0.2">
      <c r="A1816" s="1" t="s">
        <v>202</v>
      </c>
      <c r="B1816" s="1" t="s">
        <v>12</v>
      </c>
      <c r="C1816" s="2">
        <v>41155</v>
      </c>
      <c r="D1816" s="1">
        <v>10</v>
      </c>
      <c r="E1816" s="1" t="s">
        <v>52</v>
      </c>
      <c r="H1816" s="1" t="s">
        <v>54</v>
      </c>
      <c r="I1816" s="1" t="s">
        <v>12</v>
      </c>
      <c r="J1816" s="1" t="s">
        <v>203</v>
      </c>
      <c r="K1816" s="1" t="s">
        <v>14</v>
      </c>
      <c r="L1816" s="1" t="s">
        <v>12</v>
      </c>
      <c r="M1816" s="1" t="s">
        <v>12</v>
      </c>
      <c r="N1816" s="1">
        <v>21.12</v>
      </c>
      <c r="O1816" s="1" t="s">
        <v>15</v>
      </c>
      <c r="P1816" s="1">
        <v>3.1</v>
      </c>
      <c r="Q1816" s="1" t="s">
        <v>16</v>
      </c>
      <c r="R1816" s="1" t="str">
        <f>IF(N1816="","",VLOOKUP(N1816,Prior_levels,2,TRUE))</f>
        <v>L</v>
      </c>
    </row>
    <row r="1817" spans="1:18" x14ac:dyDescent="0.2">
      <c r="A1817" s="1" t="s">
        <v>202</v>
      </c>
      <c r="B1817" s="1" t="s">
        <v>12</v>
      </c>
      <c r="C1817" s="2">
        <v>41155</v>
      </c>
      <c r="D1817" s="1">
        <v>10</v>
      </c>
      <c r="E1817" s="1" t="s">
        <v>52</v>
      </c>
      <c r="H1817" s="1" t="s">
        <v>54</v>
      </c>
      <c r="I1817" s="1" t="s">
        <v>12</v>
      </c>
      <c r="J1817" s="1" t="s">
        <v>203</v>
      </c>
      <c r="K1817" s="1" t="s">
        <v>14</v>
      </c>
      <c r="L1817" s="1" t="s">
        <v>12</v>
      </c>
      <c r="M1817" s="1" t="s">
        <v>12</v>
      </c>
      <c r="N1817" s="1">
        <v>21.12</v>
      </c>
      <c r="O1817" s="1" t="s">
        <v>17</v>
      </c>
      <c r="P1817" s="1">
        <v>0.27</v>
      </c>
      <c r="Q1817" s="1" t="s">
        <v>16</v>
      </c>
      <c r="R1817" s="1" t="str">
        <f>IF(N1817="","",VLOOKUP(N1817,Prior_levels,2,TRUE))</f>
        <v>L</v>
      </c>
    </row>
    <row r="1818" spans="1:18" x14ac:dyDescent="0.2">
      <c r="A1818" s="1" t="s">
        <v>202</v>
      </c>
      <c r="B1818" s="1" t="s">
        <v>12</v>
      </c>
      <c r="C1818" s="2">
        <v>41155</v>
      </c>
      <c r="D1818" s="1">
        <v>10</v>
      </c>
      <c r="E1818" s="1" t="s">
        <v>52</v>
      </c>
      <c r="H1818" s="1" t="s">
        <v>54</v>
      </c>
      <c r="I1818" s="1" t="s">
        <v>12</v>
      </c>
      <c r="J1818" s="1" t="s">
        <v>203</v>
      </c>
      <c r="K1818" s="1" t="s">
        <v>14</v>
      </c>
      <c r="L1818" s="1" t="s">
        <v>12</v>
      </c>
      <c r="M1818" s="1" t="s">
        <v>12</v>
      </c>
      <c r="N1818" s="1">
        <v>21.12</v>
      </c>
      <c r="O1818" s="1" t="s">
        <v>18</v>
      </c>
      <c r="P1818" s="1">
        <v>8</v>
      </c>
      <c r="Q1818" s="1" t="s">
        <v>16</v>
      </c>
      <c r="R1818" s="1" t="str">
        <f>IF(N1818="","",VLOOKUP(N1818,Prior_levels,2,TRUE))</f>
        <v>L</v>
      </c>
    </row>
    <row r="1819" spans="1:18" x14ac:dyDescent="0.2">
      <c r="A1819" s="1" t="s">
        <v>202</v>
      </c>
      <c r="B1819" s="1" t="s">
        <v>12</v>
      </c>
      <c r="C1819" s="2">
        <v>41155</v>
      </c>
      <c r="D1819" s="1">
        <v>10</v>
      </c>
      <c r="E1819" s="1" t="s">
        <v>52</v>
      </c>
      <c r="H1819" s="1" t="s">
        <v>54</v>
      </c>
      <c r="I1819" s="1" t="s">
        <v>12</v>
      </c>
      <c r="J1819" s="1" t="s">
        <v>203</v>
      </c>
      <c r="K1819" s="1" t="s">
        <v>14</v>
      </c>
      <c r="L1819" s="1" t="s">
        <v>12</v>
      </c>
      <c r="M1819" s="1" t="s">
        <v>12</v>
      </c>
      <c r="N1819" s="1">
        <v>21.12</v>
      </c>
      <c r="O1819" s="1" t="s">
        <v>19</v>
      </c>
      <c r="P1819" s="1">
        <v>6</v>
      </c>
      <c r="Q1819" s="1" t="s">
        <v>16</v>
      </c>
      <c r="R1819" s="1" t="str">
        <f>IF(N1819="","",VLOOKUP(N1819,Prior_levels,2,TRUE))</f>
        <v>L</v>
      </c>
    </row>
    <row r="1820" spans="1:18" x14ac:dyDescent="0.2">
      <c r="A1820" s="1" t="s">
        <v>202</v>
      </c>
      <c r="B1820" s="1" t="s">
        <v>12</v>
      </c>
      <c r="C1820" s="2">
        <v>41155</v>
      </c>
      <c r="D1820" s="1">
        <v>10</v>
      </c>
      <c r="E1820" s="1" t="s">
        <v>52</v>
      </c>
      <c r="H1820" s="1" t="s">
        <v>54</v>
      </c>
      <c r="I1820" s="1" t="s">
        <v>12</v>
      </c>
      <c r="J1820" s="1" t="s">
        <v>203</v>
      </c>
      <c r="K1820" s="1" t="s">
        <v>14</v>
      </c>
      <c r="L1820" s="1" t="s">
        <v>12</v>
      </c>
      <c r="M1820" s="1" t="s">
        <v>12</v>
      </c>
      <c r="N1820" s="1">
        <v>21.12</v>
      </c>
      <c r="O1820" s="1" t="s">
        <v>20</v>
      </c>
      <c r="P1820" s="1">
        <v>8</v>
      </c>
      <c r="Q1820" s="1" t="s">
        <v>16</v>
      </c>
      <c r="R1820" s="1" t="str">
        <f>IF(N1820="","",VLOOKUP(N1820,Prior_levels,2,TRUE))</f>
        <v>L</v>
      </c>
    </row>
    <row r="1821" spans="1:18" x14ac:dyDescent="0.2">
      <c r="A1821" s="1" t="s">
        <v>202</v>
      </c>
      <c r="B1821" s="1" t="s">
        <v>12</v>
      </c>
      <c r="C1821" s="2">
        <v>41155</v>
      </c>
      <c r="D1821" s="1">
        <v>10</v>
      </c>
      <c r="E1821" s="1" t="s">
        <v>52</v>
      </c>
      <c r="H1821" s="1" t="s">
        <v>54</v>
      </c>
      <c r="I1821" s="1" t="s">
        <v>12</v>
      </c>
      <c r="J1821" s="1" t="s">
        <v>203</v>
      </c>
      <c r="K1821" s="1" t="s">
        <v>14</v>
      </c>
      <c r="L1821" s="1" t="s">
        <v>12</v>
      </c>
      <c r="M1821" s="1" t="s">
        <v>12</v>
      </c>
      <c r="N1821" s="1">
        <v>21.12</v>
      </c>
      <c r="O1821" s="1" t="s">
        <v>21</v>
      </c>
      <c r="P1821" s="1">
        <v>9</v>
      </c>
      <c r="Q1821" s="1" t="s">
        <v>16</v>
      </c>
      <c r="R1821" s="1" t="str">
        <f>IF(N1821="","",VLOOKUP(N1821,Prior_levels,2,TRUE))</f>
        <v>L</v>
      </c>
    </row>
    <row r="1822" spans="1:18" x14ac:dyDescent="0.2">
      <c r="A1822" s="1" t="s">
        <v>202</v>
      </c>
      <c r="B1822" s="1" t="s">
        <v>12</v>
      </c>
      <c r="C1822" s="2">
        <v>41155</v>
      </c>
      <c r="D1822" s="1">
        <v>10</v>
      </c>
      <c r="E1822" s="1" t="s">
        <v>52</v>
      </c>
      <c r="H1822" s="1" t="s">
        <v>54</v>
      </c>
      <c r="I1822" s="1" t="s">
        <v>12</v>
      </c>
      <c r="J1822" s="1" t="s">
        <v>203</v>
      </c>
      <c r="K1822" s="1" t="s">
        <v>14</v>
      </c>
      <c r="L1822" s="1" t="s">
        <v>12</v>
      </c>
      <c r="M1822" s="1" t="s">
        <v>12</v>
      </c>
      <c r="N1822" s="1">
        <v>21.12</v>
      </c>
      <c r="O1822" s="1" t="s">
        <v>22</v>
      </c>
      <c r="P1822" s="1">
        <v>0.34</v>
      </c>
      <c r="Q1822" s="1" t="s">
        <v>16</v>
      </c>
      <c r="R1822" s="1" t="str">
        <f>IF(N1822="","",VLOOKUP(N1822,Prior_levels,2,TRUE))</f>
        <v>L</v>
      </c>
    </row>
    <row r="1823" spans="1:18" x14ac:dyDescent="0.2">
      <c r="A1823" s="1" t="s">
        <v>202</v>
      </c>
      <c r="B1823" s="1" t="s">
        <v>12</v>
      </c>
      <c r="C1823" s="2">
        <v>41155</v>
      </c>
      <c r="D1823" s="1">
        <v>10</v>
      </c>
      <c r="E1823" s="1" t="s">
        <v>52</v>
      </c>
      <c r="H1823" s="1" t="s">
        <v>54</v>
      </c>
      <c r="I1823" s="1" t="s">
        <v>12</v>
      </c>
      <c r="J1823" s="1" t="s">
        <v>203</v>
      </c>
      <c r="K1823" s="1" t="s">
        <v>14</v>
      </c>
      <c r="L1823" s="1" t="s">
        <v>12</v>
      </c>
      <c r="M1823" s="1" t="s">
        <v>12</v>
      </c>
      <c r="N1823" s="1">
        <v>21.12</v>
      </c>
      <c r="O1823" s="1" t="s">
        <v>23</v>
      </c>
      <c r="P1823" s="1">
        <v>0.39</v>
      </c>
      <c r="Q1823" s="1" t="s">
        <v>16</v>
      </c>
      <c r="R1823" s="1" t="str">
        <f>IF(N1823="","",VLOOKUP(N1823,Prior_levels,2,TRUE))</f>
        <v>L</v>
      </c>
    </row>
    <row r="1824" spans="1:18" x14ac:dyDescent="0.2">
      <c r="A1824" s="1" t="s">
        <v>202</v>
      </c>
      <c r="B1824" s="1" t="s">
        <v>12</v>
      </c>
      <c r="C1824" s="2">
        <v>41155</v>
      </c>
      <c r="D1824" s="1">
        <v>10</v>
      </c>
      <c r="E1824" s="1" t="s">
        <v>52</v>
      </c>
      <c r="H1824" s="1" t="s">
        <v>54</v>
      </c>
      <c r="I1824" s="1" t="s">
        <v>12</v>
      </c>
      <c r="J1824" s="1" t="s">
        <v>203</v>
      </c>
      <c r="K1824" s="1" t="s">
        <v>14</v>
      </c>
      <c r="L1824" s="1" t="s">
        <v>12</v>
      </c>
      <c r="M1824" s="1" t="s">
        <v>12</v>
      </c>
      <c r="N1824" s="1">
        <v>21.12</v>
      </c>
      <c r="O1824" s="1" t="s">
        <v>25</v>
      </c>
      <c r="P1824" s="1">
        <v>-2.2000000000000002</v>
      </c>
      <c r="Q1824" s="1" t="s">
        <v>16</v>
      </c>
      <c r="R1824" s="1" t="str">
        <f>IF(N1824="","",VLOOKUP(N1824,Prior_levels,2,TRUE))</f>
        <v>L</v>
      </c>
    </row>
    <row r="1825" spans="1:18" x14ac:dyDescent="0.2">
      <c r="A1825" s="1" t="s">
        <v>202</v>
      </c>
      <c r="B1825" s="1" t="s">
        <v>12</v>
      </c>
      <c r="C1825" s="2">
        <v>41155</v>
      </c>
      <c r="D1825" s="1">
        <v>10</v>
      </c>
      <c r="E1825" s="1" t="s">
        <v>52</v>
      </c>
      <c r="H1825" s="1" t="s">
        <v>54</v>
      </c>
      <c r="I1825" s="1" t="s">
        <v>12</v>
      </c>
      <c r="J1825" s="1" t="s">
        <v>203</v>
      </c>
      <c r="K1825" s="1" t="s">
        <v>14</v>
      </c>
      <c r="L1825" s="1" t="s">
        <v>12</v>
      </c>
      <c r="M1825" s="1" t="s">
        <v>12</v>
      </c>
      <c r="N1825" s="1">
        <v>21.12</v>
      </c>
      <c r="O1825" s="1" t="s">
        <v>26</v>
      </c>
      <c r="P1825" s="1">
        <v>0</v>
      </c>
      <c r="Q1825" s="1" t="s">
        <v>16</v>
      </c>
      <c r="R1825" s="1" t="str">
        <f>IF(N1825="","",VLOOKUP(N1825,Prior_levels,2,TRUE))</f>
        <v>L</v>
      </c>
    </row>
    <row r="1826" spans="1:18" x14ac:dyDescent="0.2">
      <c r="A1826" s="1" t="s">
        <v>202</v>
      </c>
      <c r="B1826" s="1" t="s">
        <v>12</v>
      </c>
      <c r="C1826" s="2">
        <v>41155</v>
      </c>
      <c r="D1826" s="1">
        <v>10</v>
      </c>
      <c r="E1826" s="1" t="s">
        <v>52</v>
      </c>
      <c r="H1826" s="1" t="s">
        <v>54</v>
      </c>
      <c r="I1826" s="1" t="s">
        <v>12</v>
      </c>
      <c r="J1826" s="1" t="s">
        <v>203</v>
      </c>
      <c r="K1826" s="1" t="s">
        <v>14</v>
      </c>
      <c r="L1826" s="1" t="s">
        <v>12</v>
      </c>
      <c r="M1826" s="1" t="s">
        <v>12</v>
      </c>
      <c r="N1826" s="1">
        <v>21.12</v>
      </c>
      <c r="O1826" s="1" t="s">
        <v>24</v>
      </c>
      <c r="P1826" s="1">
        <v>3.49</v>
      </c>
      <c r="Q1826" s="1" t="s">
        <v>16</v>
      </c>
      <c r="R1826" s="1" t="str">
        <f>IF(N1826="","",VLOOKUP(N1826,Prior_levels,2,TRUE))</f>
        <v>L</v>
      </c>
    </row>
    <row r="1827" spans="1:18" x14ac:dyDescent="0.2">
      <c r="A1827" s="1" t="s">
        <v>202</v>
      </c>
      <c r="B1827" s="1" t="s">
        <v>12</v>
      </c>
      <c r="C1827" s="2">
        <v>41155</v>
      </c>
      <c r="D1827" s="1">
        <v>10</v>
      </c>
      <c r="E1827" s="1" t="s">
        <v>52</v>
      </c>
      <c r="H1827" s="1" t="s">
        <v>54</v>
      </c>
      <c r="I1827" s="1" t="s">
        <v>12</v>
      </c>
      <c r="J1827" s="1" t="s">
        <v>203</v>
      </c>
      <c r="K1827" s="1" t="s">
        <v>14</v>
      </c>
      <c r="L1827" s="1" t="s">
        <v>12</v>
      </c>
      <c r="M1827" s="1" t="s">
        <v>12</v>
      </c>
      <c r="N1827" s="1">
        <v>21.12</v>
      </c>
      <c r="O1827" s="1" t="s">
        <v>32</v>
      </c>
      <c r="P1827" s="1" t="s">
        <v>28</v>
      </c>
      <c r="Q1827" s="1" t="s">
        <v>16</v>
      </c>
      <c r="R1827" s="1" t="str">
        <f>IF(N1827="","",VLOOKUP(N1827,Prior_levels,2,TRUE))</f>
        <v>L</v>
      </c>
    </row>
    <row r="1828" spans="1:18" x14ac:dyDescent="0.2">
      <c r="A1828" s="1" t="s">
        <v>202</v>
      </c>
      <c r="B1828" s="1" t="s">
        <v>12</v>
      </c>
      <c r="C1828" s="2">
        <v>41155</v>
      </c>
      <c r="D1828" s="1">
        <v>10</v>
      </c>
      <c r="E1828" s="1" t="s">
        <v>52</v>
      </c>
      <c r="H1828" s="1" t="s">
        <v>54</v>
      </c>
      <c r="I1828" s="1" t="s">
        <v>12</v>
      </c>
      <c r="J1828" s="1" t="s">
        <v>203</v>
      </c>
      <c r="K1828" s="1" t="s">
        <v>14</v>
      </c>
      <c r="L1828" s="1" t="s">
        <v>12</v>
      </c>
      <c r="M1828" s="1" t="s">
        <v>12</v>
      </c>
      <c r="N1828" s="1">
        <v>21.12</v>
      </c>
      <c r="O1828" s="1" t="s">
        <v>27</v>
      </c>
      <c r="P1828" s="1" t="s">
        <v>28</v>
      </c>
      <c r="Q1828" s="1" t="s">
        <v>16</v>
      </c>
      <c r="R1828" s="1" t="str">
        <f>IF(N1828="","",VLOOKUP(N1828,Prior_levels,2,TRUE))</f>
        <v>L</v>
      </c>
    </row>
    <row r="1829" spans="1:18" x14ac:dyDescent="0.2">
      <c r="A1829" s="1" t="s">
        <v>202</v>
      </c>
      <c r="B1829" s="1" t="s">
        <v>12</v>
      </c>
      <c r="C1829" s="2">
        <v>41155</v>
      </c>
      <c r="D1829" s="1">
        <v>10</v>
      </c>
      <c r="E1829" s="1" t="s">
        <v>52</v>
      </c>
      <c r="H1829" s="1" t="s">
        <v>54</v>
      </c>
      <c r="I1829" s="1" t="s">
        <v>12</v>
      </c>
      <c r="J1829" s="1" t="s">
        <v>203</v>
      </c>
      <c r="K1829" s="1" t="s">
        <v>14</v>
      </c>
      <c r="L1829" s="1" t="s">
        <v>12</v>
      </c>
      <c r="M1829" s="1" t="s">
        <v>12</v>
      </c>
      <c r="N1829" s="1">
        <v>21.12</v>
      </c>
      <c r="O1829" s="1" t="s">
        <v>29</v>
      </c>
      <c r="P1829" s="1" t="s">
        <v>28</v>
      </c>
      <c r="Q1829" s="1" t="s">
        <v>16</v>
      </c>
      <c r="R1829" s="1" t="str">
        <f>IF(N1829="","",VLOOKUP(N1829,Prior_levels,2,TRUE))</f>
        <v>L</v>
      </c>
    </row>
    <row r="1830" spans="1:18" x14ac:dyDescent="0.2">
      <c r="A1830" s="1" t="s">
        <v>202</v>
      </c>
      <c r="B1830" s="1" t="s">
        <v>12</v>
      </c>
      <c r="C1830" s="2">
        <v>41155</v>
      </c>
      <c r="D1830" s="1">
        <v>10</v>
      </c>
      <c r="E1830" s="1" t="s">
        <v>52</v>
      </c>
      <c r="H1830" s="1" t="s">
        <v>54</v>
      </c>
      <c r="I1830" s="1" t="s">
        <v>12</v>
      </c>
      <c r="J1830" s="1" t="s">
        <v>203</v>
      </c>
      <c r="K1830" s="1" t="s">
        <v>14</v>
      </c>
      <c r="L1830" s="1" t="s">
        <v>12</v>
      </c>
      <c r="M1830" s="1" t="s">
        <v>12</v>
      </c>
      <c r="N1830" s="1">
        <v>21.12</v>
      </c>
      <c r="O1830" s="1" t="s">
        <v>30</v>
      </c>
      <c r="P1830" s="1" t="s">
        <v>28</v>
      </c>
      <c r="Q1830" s="1" t="s">
        <v>16</v>
      </c>
      <c r="R1830" s="1" t="str">
        <f>IF(N1830="","",VLOOKUP(N1830,Prior_levels,2,TRUE))</f>
        <v>L</v>
      </c>
    </row>
    <row r="1831" spans="1:18" x14ac:dyDescent="0.2">
      <c r="A1831" s="1" t="s">
        <v>202</v>
      </c>
      <c r="B1831" s="1" t="s">
        <v>12</v>
      </c>
      <c r="C1831" s="2">
        <v>41155</v>
      </c>
      <c r="D1831" s="1">
        <v>10</v>
      </c>
      <c r="E1831" s="1" t="s">
        <v>52</v>
      </c>
      <c r="H1831" s="1" t="s">
        <v>54</v>
      </c>
      <c r="I1831" s="1" t="s">
        <v>12</v>
      </c>
      <c r="J1831" s="1" t="s">
        <v>203</v>
      </c>
      <c r="K1831" s="1" t="s">
        <v>14</v>
      </c>
      <c r="L1831" s="1" t="s">
        <v>12</v>
      </c>
      <c r="M1831" s="1" t="s">
        <v>12</v>
      </c>
      <c r="N1831" s="1">
        <v>21.12</v>
      </c>
      <c r="O1831" s="1" t="s">
        <v>31</v>
      </c>
      <c r="P1831" s="1" t="s">
        <v>28</v>
      </c>
      <c r="Q1831" s="1" t="s">
        <v>16</v>
      </c>
      <c r="R1831" s="1" t="str">
        <f>IF(N1831="","",VLOOKUP(N1831,Prior_levels,2,TRUE))</f>
        <v>L</v>
      </c>
    </row>
    <row r="1832" spans="1:18" x14ac:dyDescent="0.2">
      <c r="A1832" s="1" t="s">
        <v>204</v>
      </c>
      <c r="B1832" s="1" t="s">
        <v>12</v>
      </c>
      <c r="C1832" s="2">
        <v>41155</v>
      </c>
      <c r="D1832" s="1">
        <v>10</v>
      </c>
      <c r="E1832" s="1" t="s">
        <v>11</v>
      </c>
      <c r="H1832" s="1" t="s">
        <v>54</v>
      </c>
      <c r="I1832" s="1" t="s">
        <v>12</v>
      </c>
      <c r="J1832" s="1" t="s">
        <v>145</v>
      </c>
      <c r="K1832" s="1" t="s">
        <v>14</v>
      </c>
      <c r="L1832" s="1" t="s">
        <v>12</v>
      </c>
      <c r="M1832" s="1" t="s">
        <v>12</v>
      </c>
      <c r="N1832" s="1">
        <v>15.06</v>
      </c>
      <c r="O1832" s="1" t="s">
        <v>15</v>
      </c>
      <c r="P1832" s="1">
        <v>2.0499999999999998</v>
      </c>
      <c r="Q1832" s="1" t="s">
        <v>16</v>
      </c>
      <c r="R1832" s="1" t="str">
        <f>IF(N1832="","",VLOOKUP(N1832,Prior_levels,2,TRUE))</f>
        <v>L</v>
      </c>
    </row>
    <row r="1833" spans="1:18" x14ac:dyDescent="0.2">
      <c r="A1833" s="1" t="s">
        <v>204</v>
      </c>
      <c r="B1833" s="1" t="s">
        <v>12</v>
      </c>
      <c r="C1833" s="2">
        <v>41155</v>
      </c>
      <c r="D1833" s="1">
        <v>10</v>
      </c>
      <c r="E1833" s="1" t="s">
        <v>11</v>
      </c>
      <c r="H1833" s="1" t="s">
        <v>54</v>
      </c>
      <c r="I1833" s="1" t="s">
        <v>12</v>
      </c>
      <c r="J1833" s="1" t="s">
        <v>145</v>
      </c>
      <c r="K1833" s="1" t="s">
        <v>14</v>
      </c>
      <c r="L1833" s="1" t="s">
        <v>12</v>
      </c>
      <c r="M1833" s="1" t="s">
        <v>12</v>
      </c>
      <c r="N1833" s="1">
        <v>15.06</v>
      </c>
      <c r="O1833" s="1" t="s">
        <v>17</v>
      </c>
      <c r="P1833" s="1">
        <v>0.14000000000000001</v>
      </c>
      <c r="Q1833" s="1" t="s">
        <v>16</v>
      </c>
      <c r="R1833" s="1" t="str">
        <f>IF(N1833="","",VLOOKUP(N1833,Prior_levels,2,TRUE))</f>
        <v>L</v>
      </c>
    </row>
    <row r="1834" spans="1:18" x14ac:dyDescent="0.2">
      <c r="A1834" s="1" t="s">
        <v>204</v>
      </c>
      <c r="B1834" s="1" t="s">
        <v>12</v>
      </c>
      <c r="C1834" s="2">
        <v>41155</v>
      </c>
      <c r="D1834" s="1">
        <v>10</v>
      </c>
      <c r="E1834" s="1" t="s">
        <v>11</v>
      </c>
      <c r="H1834" s="1" t="s">
        <v>54</v>
      </c>
      <c r="I1834" s="1" t="s">
        <v>12</v>
      </c>
      <c r="J1834" s="1" t="s">
        <v>145</v>
      </c>
      <c r="K1834" s="1" t="s">
        <v>14</v>
      </c>
      <c r="L1834" s="1" t="s">
        <v>12</v>
      </c>
      <c r="M1834" s="1" t="s">
        <v>12</v>
      </c>
      <c r="N1834" s="1">
        <v>15.06</v>
      </c>
      <c r="O1834" s="1" t="s">
        <v>18</v>
      </c>
      <c r="P1834" s="1">
        <v>4</v>
      </c>
      <c r="Q1834" s="1" t="s">
        <v>16</v>
      </c>
      <c r="R1834" s="1" t="str">
        <f>IF(N1834="","",VLOOKUP(N1834,Prior_levels,2,TRUE))</f>
        <v>L</v>
      </c>
    </row>
    <row r="1835" spans="1:18" x14ac:dyDescent="0.2">
      <c r="A1835" s="1" t="s">
        <v>204</v>
      </c>
      <c r="B1835" s="1" t="s">
        <v>12</v>
      </c>
      <c r="C1835" s="2">
        <v>41155</v>
      </c>
      <c r="D1835" s="1">
        <v>10</v>
      </c>
      <c r="E1835" s="1" t="s">
        <v>11</v>
      </c>
      <c r="H1835" s="1" t="s">
        <v>54</v>
      </c>
      <c r="I1835" s="1" t="s">
        <v>12</v>
      </c>
      <c r="J1835" s="1" t="s">
        <v>145</v>
      </c>
      <c r="K1835" s="1" t="s">
        <v>14</v>
      </c>
      <c r="L1835" s="1" t="s">
        <v>12</v>
      </c>
      <c r="M1835" s="1" t="s">
        <v>12</v>
      </c>
      <c r="N1835" s="1">
        <v>15.06</v>
      </c>
      <c r="O1835" s="1" t="s">
        <v>19</v>
      </c>
      <c r="P1835" s="1">
        <v>6</v>
      </c>
      <c r="Q1835" s="1" t="s">
        <v>16</v>
      </c>
      <c r="R1835" s="1" t="str">
        <f>IF(N1835="","",VLOOKUP(N1835,Prior_levels,2,TRUE))</f>
        <v>L</v>
      </c>
    </row>
    <row r="1836" spans="1:18" x14ac:dyDescent="0.2">
      <c r="A1836" s="1" t="s">
        <v>204</v>
      </c>
      <c r="B1836" s="1" t="s">
        <v>12</v>
      </c>
      <c r="C1836" s="2">
        <v>41155</v>
      </c>
      <c r="D1836" s="1">
        <v>10</v>
      </c>
      <c r="E1836" s="1" t="s">
        <v>11</v>
      </c>
      <c r="H1836" s="1" t="s">
        <v>54</v>
      </c>
      <c r="I1836" s="1" t="s">
        <v>12</v>
      </c>
      <c r="J1836" s="1" t="s">
        <v>145</v>
      </c>
      <c r="K1836" s="1" t="s">
        <v>14</v>
      </c>
      <c r="L1836" s="1" t="s">
        <v>12</v>
      </c>
      <c r="M1836" s="1" t="s">
        <v>12</v>
      </c>
      <c r="N1836" s="1">
        <v>15.06</v>
      </c>
      <c r="O1836" s="1" t="s">
        <v>20</v>
      </c>
      <c r="P1836" s="1">
        <v>5.5</v>
      </c>
      <c r="Q1836" s="1" t="s">
        <v>16</v>
      </c>
      <c r="R1836" s="1" t="str">
        <f>IF(N1836="","",VLOOKUP(N1836,Prior_levels,2,TRUE))</f>
        <v>L</v>
      </c>
    </row>
    <row r="1837" spans="1:18" x14ac:dyDescent="0.2">
      <c r="A1837" s="1" t="s">
        <v>204</v>
      </c>
      <c r="B1837" s="1" t="s">
        <v>12</v>
      </c>
      <c r="C1837" s="2">
        <v>41155</v>
      </c>
      <c r="D1837" s="1">
        <v>10</v>
      </c>
      <c r="E1837" s="1" t="s">
        <v>11</v>
      </c>
      <c r="H1837" s="1" t="s">
        <v>54</v>
      </c>
      <c r="I1837" s="1" t="s">
        <v>12</v>
      </c>
      <c r="J1837" s="1" t="s">
        <v>145</v>
      </c>
      <c r="K1837" s="1" t="s">
        <v>14</v>
      </c>
      <c r="L1837" s="1" t="s">
        <v>12</v>
      </c>
      <c r="M1837" s="1" t="s">
        <v>12</v>
      </c>
      <c r="N1837" s="1">
        <v>15.06</v>
      </c>
      <c r="O1837" s="1" t="s">
        <v>21</v>
      </c>
      <c r="P1837" s="1">
        <v>5</v>
      </c>
      <c r="Q1837" s="1" t="s">
        <v>16</v>
      </c>
      <c r="R1837" s="1" t="str">
        <f>IF(N1837="","",VLOOKUP(N1837,Prior_levels,2,TRUE))</f>
        <v>L</v>
      </c>
    </row>
    <row r="1838" spans="1:18" x14ac:dyDescent="0.2">
      <c r="A1838" s="1" t="s">
        <v>204</v>
      </c>
      <c r="B1838" s="1" t="s">
        <v>12</v>
      </c>
      <c r="C1838" s="2">
        <v>41155</v>
      </c>
      <c r="D1838" s="1">
        <v>10</v>
      </c>
      <c r="E1838" s="1" t="s">
        <v>11</v>
      </c>
      <c r="H1838" s="1" t="s">
        <v>54</v>
      </c>
      <c r="I1838" s="1" t="s">
        <v>12</v>
      </c>
      <c r="J1838" s="1" t="s">
        <v>145</v>
      </c>
      <c r="K1838" s="1" t="s">
        <v>14</v>
      </c>
      <c r="L1838" s="1" t="s">
        <v>12</v>
      </c>
      <c r="M1838" s="1" t="s">
        <v>12</v>
      </c>
      <c r="N1838" s="1">
        <v>15.06</v>
      </c>
      <c r="O1838" s="1" t="s">
        <v>22</v>
      </c>
      <c r="P1838" s="1">
        <v>-0.66</v>
      </c>
      <c r="Q1838" s="1" t="s">
        <v>16</v>
      </c>
      <c r="R1838" s="1" t="str">
        <f>IF(N1838="","",VLOOKUP(N1838,Prior_levels,2,TRUE))</f>
        <v>L</v>
      </c>
    </row>
    <row r="1839" spans="1:18" x14ac:dyDescent="0.2">
      <c r="A1839" s="1" t="s">
        <v>204</v>
      </c>
      <c r="B1839" s="1" t="s">
        <v>12</v>
      </c>
      <c r="C1839" s="2">
        <v>41155</v>
      </c>
      <c r="D1839" s="1">
        <v>10</v>
      </c>
      <c r="E1839" s="1" t="s">
        <v>11</v>
      </c>
      <c r="H1839" s="1" t="s">
        <v>54</v>
      </c>
      <c r="I1839" s="1" t="s">
        <v>12</v>
      </c>
      <c r="J1839" s="1" t="s">
        <v>145</v>
      </c>
      <c r="K1839" s="1" t="s">
        <v>14</v>
      </c>
      <c r="L1839" s="1" t="s">
        <v>12</v>
      </c>
      <c r="M1839" s="1" t="s">
        <v>12</v>
      </c>
      <c r="N1839" s="1">
        <v>15.06</v>
      </c>
      <c r="O1839" s="1" t="s">
        <v>23</v>
      </c>
      <c r="P1839" s="1">
        <v>1.68</v>
      </c>
      <c r="Q1839" s="1" t="s">
        <v>16</v>
      </c>
      <c r="R1839" s="1" t="str">
        <f>IF(N1839="","",VLOOKUP(N1839,Prior_levels,2,TRUE))</f>
        <v>L</v>
      </c>
    </row>
    <row r="1840" spans="1:18" x14ac:dyDescent="0.2">
      <c r="A1840" s="1" t="s">
        <v>204</v>
      </c>
      <c r="B1840" s="1" t="s">
        <v>12</v>
      </c>
      <c r="C1840" s="2">
        <v>41155</v>
      </c>
      <c r="D1840" s="1">
        <v>10</v>
      </c>
      <c r="E1840" s="1" t="s">
        <v>11</v>
      </c>
      <c r="H1840" s="1" t="s">
        <v>54</v>
      </c>
      <c r="I1840" s="1" t="s">
        <v>12</v>
      </c>
      <c r="J1840" s="1" t="s">
        <v>145</v>
      </c>
      <c r="K1840" s="1" t="s">
        <v>14</v>
      </c>
      <c r="L1840" s="1" t="s">
        <v>12</v>
      </c>
      <c r="M1840" s="1" t="s">
        <v>12</v>
      </c>
      <c r="N1840" s="1">
        <v>15.06</v>
      </c>
      <c r="O1840" s="1" t="s">
        <v>24</v>
      </c>
      <c r="P1840" s="1">
        <v>2.94</v>
      </c>
      <c r="Q1840" s="1" t="s">
        <v>16</v>
      </c>
      <c r="R1840" s="1" t="str">
        <f>IF(N1840="","",VLOOKUP(N1840,Prior_levels,2,TRUE))</f>
        <v>L</v>
      </c>
    </row>
    <row r="1841" spans="1:18" x14ac:dyDescent="0.2">
      <c r="A1841" s="1" t="s">
        <v>204</v>
      </c>
      <c r="B1841" s="1" t="s">
        <v>12</v>
      </c>
      <c r="C1841" s="2">
        <v>41155</v>
      </c>
      <c r="D1841" s="1">
        <v>10</v>
      </c>
      <c r="E1841" s="1" t="s">
        <v>11</v>
      </c>
      <c r="H1841" s="1" t="s">
        <v>54</v>
      </c>
      <c r="I1841" s="1" t="s">
        <v>12</v>
      </c>
      <c r="J1841" s="1" t="s">
        <v>145</v>
      </c>
      <c r="K1841" s="1" t="s">
        <v>14</v>
      </c>
      <c r="L1841" s="1" t="s">
        <v>12</v>
      </c>
      <c r="M1841" s="1" t="s">
        <v>12</v>
      </c>
      <c r="N1841" s="1">
        <v>15.06</v>
      </c>
      <c r="O1841" s="1" t="s">
        <v>25</v>
      </c>
      <c r="P1841" s="1">
        <v>-3.63</v>
      </c>
      <c r="Q1841" s="1" t="s">
        <v>16</v>
      </c>
      <c r="R1841" s="1" t="str">
        <f>IF(N1841="","",VLOOKUP(N1841,Prior_levels,2,TRUE))</f>
        <v>L</v>
      </c>
    </row>
    <row r="1842" spans="1:18" x14ac:dyDescent="0.2">
      <c r="A1842" s="1" t="s">
        <v>204</v>
      </c>
      <c r="B1842" s="1" t="s">
        <v>12</v>
      </c>
      <c r="C1842" s="2">
        <v>41155</v>
      </c>
      <c r="D1842" s="1">
        <v>10</v>
      </c>
      <c r="E1842" s="1" t="s">
        <v>11</v>
      </c>
      <c r="H1842" s="1" t="s">
        <v>54</v>
      </c>
      <c r="I1842" s="1" t="s">
        <v>12</v>
      </c>
      <c r="J1842" s="1" t="s">
        <v>145</v>
      </c>
      <c r="K1842" s="1" t="s">
        <v>14</v>
      </c>
      <c r="L1842" s="1" t="s">
        <v>12</v>
      </c>
      <c r="M1842" s="1" t="s">
        <v>12</v>
      </c>
      <c r="N1842" s="1">
        <v>15.06</v>
      </c>
      <c r="O1842" s="1" t="s">
        <v>26</v>
      </c>
      <c r="P1842" s="1">
        <v>0</v>
      </c>
      <c r="Q1842" s="1" t="s">
        <v>16</v>
      </c>
      <c r="R1842" s="1" t="str">
        <f>IF(N1842="","",VLOOKUP(N1842,Prior_levels,2,TRUE))</f>
        <v>L</v>
      </c>
    </row>
    <row r="1843" spans="1:18" x14ac:dyDescent="0.2">
      <c r="A1843" s="1" t="s">
        <v>204</v>
      </c>
      <c r="B1843" s="1" t="s">
        <v>12</v>
      </c>
      <c r="C1843" s="2">
        <v>41155</v>
      </c>
      <c r="D1843" s="1">
        <v>10</v>
      </c>
      <c r="E1843" s="1" t="s">
        <v>11</v>
      </c>
      <c r="H1843" s="1" t="s">
        <v>54</v>
      </c>
      <c r="I1843" s="1" t="s">
        <v>12</v>
      </c>
      <c r="J1843" s="1" t="s">
        <v>145</v>
      </c>
      <c r="K1843" s="1" t="s">
        <v>14</v>
      </c>
      <c r="L1843" s="1" t="s">
        <v>12</v>
      </c>
      <c r="M1843" s="1" t="s">
        <v>12</v>
      </c>
      <c r="N1843" s="1">
        <v>15.06</v>
      </c>
      <c r="O1843" s="1" t="s">
        <v>27</v>
      </c>
      <c r="P1843" s="1" t="s">
        <v>28</v>
      </c>
      <c r="Q1843" s="1" t="s">
        <v>16</v>
      </c>
      <c r="R1843" s="1" t="str">
        <f>IF(N1843="","",VLOOKUP(N1843,Prior_levels,2,TRUE))</f>
        <v>L</v>
      </c>
    </row>
    <row r="1844" spans="1:18" x14ac:dyDescent="0.2">
      <c r="A1844" s="1" t="s">
        <v>204</v>
      </c>
      <c r="B1844" s="1" t="s">
        <v>12</v>
      </c>
      <c r="C1844" s="2">
        <v>41155</v>
      </c>
      <c r="D1844" s="1">
        <v>10</v>
      </c>
      <c r="E1844" s="1" t="s">
        <v>11</v>
      </c>
      <c r="H1844" s="1" t="s">
        <v>54</v>
      </c>
      <c r="I1844" s="1" t="s">
        <v>12</v>
      </c>
      <c r="J1844" s="1" t="s">
        <v>145</v>
      </c>
      <c r="K1844" s="1" t="s">
        <v>14</v>
      </c>
      <c r="L1844" s="1" t="s">
        <v>12</v>
      </c>
      <c r="M1844" s="1" t="s">
        <v>12</v>
      </c>
      <c r="N1844" s="1">
        <v>15.06</v>
      </c>
      <c r="O1844" s="1" t="s">
        <v>29</v>
      </c>
      <c r="P1844" s="1" t="s">
        <v>28</v>
      </c>
      <c r="Q1844" s="1" t="s">
        <v>16</v>
      </c>
      <c r="R1844" s="1" t="str">
        <f>IF(N1844="","",VLOOKUP(N1844,Prior_levels,2,TRUE))</f>
        <v>L</v>
      </c>
    </row>
    <row r="1845" spans="1:18" x14ac:dyDescent="0.2">
      <c r="A1845" s="1" t="s">
        <v>204</v>
      </c>
      <c r="B1845" s="1" t="s">
        <v>12</v>
      </c>
      <c r="C1845" s="2">
        <v>41155</v>
      </c>
      <c r="D1845" s="1">
        <v>10</v>
      </c>
      <c r="E1845" s="1" t="s">
        <v>11</v>
      </c>
      <c r="H1845" s="1" t="s">
        <v>54</v>
      </c>
      <c r="I1845" s="1" t="s">
        <v>12</v>
      </c>
      <c r="J1845" s="1" t="s">
        <v>145</v>
      </c>
      <c r="K1845" s="1" t="s">
        <v>14</v>
      </c>
      <c r="L1845" s="1" t="s">
        <v>12</v>
      </c>
      <c r="M1845" s="1" t="s">
        <v>12</v>
      </c>
      <c r="N1845" s="1">
        <v>15.06</v>
      </c>
      <c r="O1845" s="1" t="s">
        <v>30</v>
      </c>
      <c r="P1845" s="1" t="s">
        <v>28</v>
      </c>
      <c r="Q1845" s="1" t="s">
        <v>16</v>
      </c>
      <c r="R1845" s="1" t="str">
        <f>IF(N1845="","",VLOOKUP(N1845,Prior_levels,2,TRUE))</f>
        <v>L</v>
      </c>
    </row>
    <row r="1846" spans="1:18" x14ac:dyDescent="0.2">
      <c r="A1846" s="1" t="s">
        <v>204</v>
      </c>
      <c r="B1846" s="1" t="s">
        <v>12</v>
      </c>
      <c r="C1846" s="2">
        <v>41155</v>
      </c>
      <c r="D1846" s="1">
        <v>10</v>
      </c>
      <c r="E1846" s="1" t="s">
        <v>11</v>
      </c>
      <c r="H1846" s="1" t="s">
        <v>54</v>
      </c>
      <c r="I1846" s="1" t="s">
        <v>12</v>
      </c>
      <c r="J1846" s="1" t="s">
        <v>145</v>
      </c>
      <c r="K1846" s="1" t="s">
        <v>14</v>
      </c>
      <c r="L1846" s="1" t="s">
        <v>12</v>
      </c>
      <c r="M1846" s="1" t="s">
        <v>12</v>
      </c>
      <c r="N1846" s="1">
        <v>15.06</v>
      </c>
      <c r="O1846" s="1" t="s">
        <v>31</v>
      </c>
      <c r="P1846" s="1" t="s">
        <v>28</v>
      </c>
      <c r="Q1846" s="1" t="s">
        <v>16</v>
      </c>
      <c r="R1846" s="1" t="str">
        <f>IF(N1846="","",VLOOKUP(N1846,Prior_levels,2,TRUE))</f>
        <v>L</v>
      </c>
    </row>
    <row r="1847" spans="1:18" x14ac:dyDescent="0.2">
      <c r="A1847" s="1" t="s">
        <v>204</v>
      </c>
      <c r="B1847" s="1" t="s">
        <v>12</v>
      </c>
      <c r="C1847" s="2">
        <v>41155</v>
      </c>
      <c r="D1847" s="1">
        <v>10</v>
      </c>
      <c r="E1847" s="1" t="s">
        <v>11</v>
      </c>
      <c r="H1847" s="1" t="s">
        <v>54</v>
      </c>
      <c r="I1847" s="1" t="s">
        <v>12</v>
      </c>
      <c r="J1847" s="1" t="s">
        <v>145</v>
      </c>
      <c r="K1847" s="1" t="s">
        <v>14</v>
      </c>
      <c r="L1847" s="1" t="s">
        <v>12</v>
      </c>
      <c r="M1847" s="1" t="s">
        <v>12</v>
      </c>
      <c r="N1847" s="1">
        <v>15.06</v>
      </c>
      <c r="O1847" s="1" t="s">
        <v>32</v>
      </c>
      <c r="P1847" s="1" t="s">
        <v>28</v>
      </c>
      <c r="Q1847" s="1" t="s">
        <v>16</v>
      </c>
      <c r="R1847" s="1" t="str">
        <f>IF(N1847="","",VLOOKUP(N1847,Prior_levels,2,TRUE))</f>
        <v>L</v>
      </c>
    </row>
    <row r="1848" spans="1:18" x14ac:dyDescent="0.2">
      <c r="A1848" s="1" t="s">
        <v>205</v>
      </c>
      <c r="B1848" s="1" t="s">
        <v>10</v>
      </c>
      <c r="C1848" s="2">
        <v>41155</v>
      </c>
      <c r="D1848" s="1">
        <v>10</v>
      </c>
      <c r="E1848" s="1" t="s">
        <v>52</v>
      </c>
      <c r="I1848" s="1" t="s">
        <v>12</v>
      </c>
      <c r="J1848" s="1" t="s">
        <v>206</v>
      </c>
      <c r="K1848" s="1" t="s">
        <v>14</v>
      </c>
      <c r="L1848" s="1" t="s">
        <v>35</v>
      </c>
      <c r="M1848" s="1" t="s">
        <v>35</v>
      </c>
      <c r="N1848" s="1">
        <v>33.18</v>
      </c>
      <c r="O1848" s="1" t="s">
        <v>15</v>
      </c>
      <c r="P1848" s="1">
        <v>5.5</v>
      </c>
      <c r="Q1848" s="1" t="s">
        <v>16</v>
      </c>
      <c r="R1848" s="1" t="str">
        <f>IF(N1848="","",VLOOKUP(N1848,Prior_levels,2,TRUE))</f>
        <v>H</v>
      </c>
    </row>
    <row r="1849" spans="1:18" x14ac:dyDescent="0.2">
      <c r="A1849" s="1" t="s">
        <v>205</v>
      </c>
      <c r="B1849" s="1" t="s">
        <v>10</v>
      </c>
      <c r="C1849" s="2">
        <v>41155</v>
      </c>
      <c r="D1849" s="1">
        <v>10</v>
      </c>
      <c r="E1849" s="1" t="s">
        <v>52</v>
      </c>
      <c r="I1849" s="1" t="s">
        <v>12</v>
      </c>
      <c r="J1849" s="1" t="s">
        <v>206</v>
      </c>
      <c r="K1849" s="1" t="s">
        <v>14</v>
      </c>
      <c r="L1849" s="1" t="s">
        <v>35</v>
      </c>
      <c r="M1849" s="1" t="s">
        <v>35</v>
      </c>
      <c r="N1849" s="1">
        <v>33.18</v>
      </c>
      <c r="O1849" s="1" t="s">
        <v>17</v>
      </c>
      <c r="P1849" s="1">
        <v>-1.05</v>
      </c>
      <c r="Q1849" s="1" t="s">
        <v>16</v>
      </c>
      <c r="R1849" s="1" t="str">
        <f>IF(N1849="","",VLOOKUP(N1849,Prior_levels,2,TRUE))</f>
        <v>H</v>
      </c>
    </row>
    <row r="1850" spans="1:18" x14ac:dyDescent="0.2">
      <c r="A1850" s="1" t="s">
        <v>205</v>
      </c>
      <c r="B1850" s="1" t="s">
        <v>10</v>
      </c>
      <c r="C1850" s="2">
        <v>41155</v>
      </c>
      <c r="D1850" s="1">
        <v>10</v>
      </c>
      <c r="E1850" s="1" t="s">
        <v>52</v>
      </c>
      <c r="I1850" s="1" t="s">
        <v>12</v>
      </c>
      <c r="J1850" s="1" t="s">
        <v>206</v>
      </c>
      <c r="K1850" s="1" t="s">
        <v>14</v>
      </c>
      <c r="L1850" s="1" t="s">
        <v>35</v>
      </c>
      <c r="M1850" s="1" t="s">
        <v>35</v>
      </c>
      <c r="N1850" s="1">
        <v>33.18</v>
      </c>
      <c r="O1850" s="1" t="s">
        <v>18</v>
      </c>
      <c r="P1850" s="1">
        <v>10</v>
      </c>
      <c r="Q1850" s="1" t="s">
        <v>16</v>
      </c>
      <c r="R1850" s="1" t="str">
        <f>IF(N1850="","",VLOOKUP(N1850,Prior_levels,2,TRUE))</f>
        <v>H</v>
      </c>
    </row>
    <row r="1851" spans="1:18" x14ac:dyDescent="0.2">
      <c r="A1851" s="1" t="s">
        <v>205</v>
      </c>
      <c r="B1851" s="1" t="s">
        <v>10</v>
      </c>
      <c r="C1851" s="2">
        <v>41155</v>
      </c>
      <c r="D1851" s="1">
        <v>10</v>
      </c>
      <c r="E1851" s="1" t="s">
        <v>52</v>
      </c>
      <c r="I1851" s="1" t="s">
        <v>12</v>
      </c>
      <c r="J1851" s="1" t="s">
        <v>206</v>
      </c>
      <c r="K1851" s="1" t="s">
        <v>14</v>
      </c>
      <c r="L1851" s="1" t="s">
        <v>35</v>
      </c>
      <c r="M1851" s="1" t="s">
        <v>35</v>
      </c>
      <c r="N1851" s="1">
        <v>33.18</v>
      </c>
      <c r="O1851" s="1" t="s">
        <v>19</v>
      </c>
      <c r="P1851" s="1">
        <v>14</v>
      </c>
      <c r="Q1851" s="1" t="s">
        <v>16</v>
      </c>
      <c r="R1851" s="1" t="str">
        <f>IF(N1851="","",VLOOKUP(N1851,Prior_levels,2,TRUE))</f>
        <v>H</v>
      </c>
    </row>
    <row r="1852" spans="1:18" x14ac:dyDescent="0.2">
      <c r="A1852" s="1" t="s">
        <v>205</v>
      </c>
      <c r="B1852" s="1" t="s">
        <v>10</v>
      </c>
      <c r="C1852" s="2">
        <v>41155</v>
      </c>
      <c r="D1852" s="1">
        <v>10</v>
      </c>
      <c r="E1852" s="1" t="s">
        <v>52</v>
      </c>
      <c r="I1852" s="1" t="s">
        <v>12</v>
      </c>
      <c r="J1852" s="1" t="s">
        <v>206</v>
      </c>
      <c r="K1852" s="1" t="s">
        <v>14</v>
      </c>
      <c r="L1852" s="1" t="s">
        <v>35</v>
      </c>
      <c r="M1852" s="1" t="s">
        <v>35</v>
      </c>
      <c r="N1852" s="1">
        <v>33.18</v>
      </c>
      <c r="O1852" s="1" t="s">
        <v>20</v>
      </c>
      <c r="P1852" s="1">
        <v>18</v>
      </c>
      <c r="Q1852" s="1" t="s">
        <v>16</v>
      </c>
      <c r="R1852" s="1" t="str">
        <f>IF(N1852="","",VLOOKUP(N1852,Prior_levels,2,TRUE))</f>
        <v>H</v>
      </c>
    </row>
    <row r="1853" spans="1:18" x14ac:dyDescent="0.2">
      <c r="A1853" s="1" t="s">
        <v>205</v>
      </c>
      <c r="B1853" s="1" t="s">
        <v>10</v>
      </c>
      <c r="C1853" s="2">
        <v>41155</v>
      </c>
      <c r="D1853" s="1">
        <v>10</v>
      </c>
      <c r="E1853" s="1" t="s">
        <v>52</v>
      </c>
      <c r="I1853" s="1" t="s">
        <v>12</v>
      </c>
      <c r="J1853" s="1" t="s">
        <v>206</v>
      </c>
      <c r="K1853" s="1" t="s">
        <v>14</v>
      </c>
      <c r="L1853" s="1" t="s">
        <v>35</v>
      </c>
      <c r="M1853" s="1" t="s">
        <v>35</v>
      </c>
      <c r="N1853" s="1">
        <v>33.18</v>
      </c>
      <c r="O1853" s="1" t="s">
        <v>21</v>
      </c>
      <c r="P1853" s="1">
        <v>13</v>
      </c>
      <c r="Q1853" s="1" t="s">
        <v>16</v>
      </c>
      <c r="R1853" s="1" t="str">
        <f>IF(N1853="","",VLOOKUP(N1853,Prior_levels,2,TRUE))</f>
        <v>H</v>
      </c>
    </row>
    <row r="1854" spans="1:18" x14ac:dyDescent="0.2">
      <c r="A1854" s="1" t="s">
        <v>205</v>
      </c>
      <c r="B1854" s="1" t="s">
        <v>10</v>
      </c>
      <c r="C1854" s="2">
        <v>41155</v>
      </c>
      <c r="D1854" s="1">
        <v>10</v>
      </c>
      <c r="E1854" s="1" t="s">
        <v>52</v>
      </c>
      <c r="I1854" s="1" t="s">
        <v>12</v>
      </c>
      <c r="J1854" s="1" t="s">
        <v>206</v>
      </c>
      <c r="K1854" s="1" t="s">
        <v>14</v>
      </c>
      <c r="L1854" s="1" t="s">
        <v>35</v>
      </c>
      <c r="M1854" s="1" t="s">
        <v>35</v>
      </c>
      <c r="N1854" s="1">
        <v>33.18</v>
      </c>
      <c r="O1854" s="1" t="s">
        <v>22</v>
      </c>
      <c r="P1854" s="1">
        <v>-1.64</v>
      </c>
      <c r="Q1854" s="1" t="s">
        <v>16</v>
      </c>
      <c r="R1854" s="1" t="str">
        <f>IF(N1854="","",VLOOKUP(N1854,Prior_levels,2,TRUE))</f>
        <v>H</v>
      </c>
    </row>
    <row r="1855" spans="1:18" x14ac:dyDescent="0.2">
      <c r="A1855" s="1" t="s">
        <v>205</v>
      </c>
      <c r="B1855" s="1" t="s">
        <v>10</v>
      </c>
      <c r="C1855" s="2">
        <v>41155</v>
      </c>
      <c r="D1855" s="1">
        <v>10</v>
      </c>
      <c r="E1855" s="1" t="s">
        <v>52</v>
      </c>
      <c r="I1855" s="1" t="s">
        <v>12</v>
      </c>
      <c r="J1855" s="1" t="s">
        <v>206</v>
      </c>
      <c r="K1855" s="1" t="s">
        <v>14</v>
      </c>
      <c r="L1855" s="1" t="s">
        <v>35</v>
      </c>
      <c r="M1855" s="1" t="s">
        <v>35</v>
      </c>
      <c r="N1855" s="1">
        <v>33.18</v>
      </c>
      <c r="O1855" s="1" t="s">
        <v>23</v>
      </c>
      <c r="P1855" s="1">
        <v>0.34</v>
      </c>
      <c r="Q1855" s="1" t="s">
        <v>16</v>
      </c>
      <c r="R1855" s="1" t="str">
        <f>IF(N1855="","",VLOOKUP(N1855,Prior_levels,2,TRUE))</f>
        <v>H</v>
      </c>
    </row>
    <row r="1856" spans="1:18" x14ac:dyDescent="0.2">
      <c r="A1856" s="1" t="s">
        <v>205</v>
      </c>
      <c r="B1856" s="1" t="s">
        <v>10</v>
      </c>
      <c r="C1856" s="2">
        <v>41155</v>
      </c>
      <c r="D1856" s="1">
        <v>10</v>
      </c>
      <c r="E1856" s="1" t="s">
        <v>52</v>
      </c>
      <c r="I1856" s="1" t="s">
        <v>12</v>
      </c>
      <c r="J1856" s="1" t="s">
        <v>206</v>
      </c>
      <c r="K1856" s="1" t="s">
        <v>14</v>
      </c>
      <c r="L1856" s="1" t="s">
        <v>35</v>
      </c>
      <c r="M1856" s="1" t="s">
        <v>35</v>
      </c>
      <c r="N1856" s="1">
        <v>33.18</v>
      </c>
      <c r="O1856" s="1" t="s">
        <v>24</v>
      </c>
      <c r="P1856" s="1">
        <v>-1.27</v>
      </c>
      <c r="Q1856" s="1" t="s">
        <v>16</v>
      </c>
      <c r="R1856" s="1" t="str">
        <f>IF(N1856="","",VLOOKUP(N1856,Prior_levels,2,TRUE))</f>
        <v>H</v>
      </c>
    </row>
    <row r="1857" spans="1:18" x14ac:dyDescent="0.2">
      <c r="A1857" s="1" t="s">
        <v>205</v>
      </c>
      <c r="B1857" s="1" t="s">
        <v>10</v>
      </c>
      <c r="C1857" s="2">
        <v>41155</v>
      </c>
      <c r="D1857" s="1">
        <v>10</v>
      </c>
      <c r="E1857" s="1" t="s">
        <v>52</v>
      </c>
      <c r="I1857" s="1" t="s">
        <v>12</v>
      </c>
      <c r="J1857" s="1" t="s">
        <v>206</v>
      </c>
      <c r="K1857" s="1" t="s">
        <v>14</v>
      </c>
      <c r="L1857" s="1" t="s">
        <v>35</v>
      </c>
      <c r="M1857" s="1" t="s">
        <v>35</v>
      </c>
      <c r="N1857" s="1">
        <v>33.18</v>
      </c>
      <c r="O1857" s="1" t="s">
        <v>25</v>
      </c>
      <c r="P1857" s="1">
        <v>-6.62</v>
      </c>
      <c r="Q1857" s="1" t="s">
        <v>16</v>
      </c>
      <c r="R1857" s="1" t="str">
        <f>IF(N1857="","",VLOOKUP(N1857,Prior_levels,2,TRUE))</f>
        <v>H</v>
      </c>
    </row>
    <row r="1858" spans="1:18" x14ac:dyDescent="0.2">
      <c r="A1858" s="1" t="s">
        <v>205</v>
      </c>
      <c r="B1858" s="1" t="s">
        <v>10</v>
      </c>
      <c r="C1858" s="2">
        <v>41155</v>
      </c>
      <c r="D1858" s="1">
        <v>10</v>
      </c>
      <c r="E1858" s="1" t="s">
        <v>52</v>
      </c>
      <c r="I1858" s="1" t="s">
        <v>12</v>
      </c>
      <c r="J1858" s="1" t="s">
        <v>206</v>
      </c>
      <c r="K1858" s="1" t="s">
        <v>14</v>
      </c>
      <c r="L1858" s="1" t="s">
        <v>35</v>
      </c>
      <c r="M1858" s="1" t="s">
        <v>35</v>
      </c>
      <c r="N1858" s="1">
        <v>33.18</v>
      </c>
      <c r="O1858" s="1" t="s">
        <v>26</v>
      </c>
      <c r="P1858" s="1">
        <v>9</v>
      </c>
      <c r="Q1858" s="1" t="s">
        <v>16</v>
      </c>
      <c r="R1858" s="1" t="str">
        <f>IF(N1858="","",VLOOKUP(N1858,Prior_levels,2,TRUE))</f>
        <v>H</v>
      </c>
    </row>
    <row r="1859" spans="1:18" x14ac:dyDescent="0.2">
      <c r="A1859" s="1" t="s">
        <v>205</v>
      </c>
      <c r="B1859" s="1" t="s">
        <v>10</v>
      </c>
      <c r="C1859" s="2">
        <v>41155</v>
      </c>
      <c r="D1859" s="1">
        <v>10</v>
      </c>
      <c r="E1859" s="1" t="s">
        <v>52</v>
      </c>
      <c r="I1859" s="1" t="s">
        <v>12</v>
      </c>
      <c r="J1859" s="1" t="s">
        <v>206</v>
      </c>
      <c r="K1859" s="1" t="s">
        <v>14</v>
      </c>
      <c r="L1859" s="1" t="s">
        <v>35</v>
      </c>
      <c r="M1859" s="1" t="s">
        <v>35</v>
      </c>
      <c r="N1859" s="1">
        <v>33.18</v>
      </c>
      <c r="O1859" s="1" t="s">
        <v>32</v>
      </c>
      <c r="P1859" s="1" t="s">
        <v>37</v>
      </c>
      <c r="Q1859" s="1" t="s">
        <v>16</v>
      </c>
      <c r="R1859" s="1" t="str">
        <f>IF(N1859="","",VLOOKUP(N1859,Prior_levels,2,TRUE))</f>
        <v>H</v>
      </c>
    </row>
    <row r="1860" spans="1:18" x14ac:dyDescent="0.2">
      <c r="A1860" s="1" t="s">
        <v>205</v>
      </c>
      <c r="B1860" s="1" t="s">
        <v>10</v>
      </c>
      <c r="C1860" s="2">
        <v>41155</v>
      </c>
      <c r="D1860" s="1">
        <v>10</v>
      </c>
      <c r="E1860" s="1" t="s">
        <v>52</v>
      </c>
      <c r="I1860" s="1" t="s">
        <v>12</v>
      </c>
      <c r="J1860" s="1" t="s">
        <v>206</v>
      </c>
      <c r="K1860" s="1" t="s">
        <v>14</v>
      </c>
      <c r="L1860" s="1" t="s">
        <v>35</v>
      </c>
      <c r="M1860" s="1" t="s">
        <v>35</v>
      </c>
      <c r="N1860" s="1">
        <v>33.18</v>
      </c>
      <c r="O1860" s="1" t="s">
        <v>27</v>
      </c>
      <c r="P1860" s="1" t="s">
        <v>37</v>
      </c>
      <c r="Q1860" s="1" t="s">
        <v>16</v>
      </c>
      <c r="R1860" s="1" t="str">
        <f>IF(N1860="","",VLOOKUP(N1860,Prior_levels,2,TRUE))</f>
        <v>H</v>
      </c>
    </row>
    <row r="1861" spans="1:18" x14ac:dyDescent="0.2">
      <c r="A1861" s="1" t="s">
        <v>205</v>
      </c>
      <c r="B1861" s="1" t="s">
        <v>10</v>
      </c>
      <c r="C1861" s="2">
        <v>41155</v>
      </c>
      <c r="D1861" s="1">
        <v>10</v>
      </c>
      <c r="E1861" s="1" t="s">
        <v>52</v>
      </c>
      <c r="I1861" s="1" t="s">
        <v>12</v>
      </c>
      <c r="J1861" s="1" t="s">
        <v>206</v>
      </c>
      <c r="K1861" s="1" t="s">
        <v>14</v>
      </c>
      <c r="L1861" s="1" t="s">
        <v>35</v>
      </c>
      <c r="M1861" s="1" t="s">
        <v>35</v>
      </c>
      <c r="N1861" s="1">
        <v>33.18</v>
      </c>
      <c r="O1861" s="1" t="s">
        <v>29</v>
      </c>
      <c r="P1861" s="1" t="s">
        <v>37</v>
      </c>
      <c r="Q1861" s="1" t="s">
        <v>16</v>
      </c>
      <c r="R1861" s="1" t="str">
        <f>IF(N1861="","",VLOOKUP(N1861,Prior_levels,2,TRUE))</f>
        <v>H</v>
      </c>
    </row>
    <row r="1862" spans="1:18" x14ac:dyDescent="0.2">
      <c r="A1862" s="1" t="s">
        <v>205</v>
      </c>
      <c r="B1862" s="1" t="s">
        <v>10</v>
      </c>
      <c r="C1862" s="2">
        <v>41155</v>
      </c>
      <c r="D1862" s="1">
        <v>10</v>
      </c>
      <c r="E1862" s="1" t="s">
        <v>52</v>
      </c>
      <c r="I1862" s="1" t="s">
        <v>12</v>
      </c>
      <c r="J1862" s="1" t="s">
        <v>206</v>
      </c>
      <c r="K1862" s="1" t="s">
        <v>14</v>
      </c>
      <c r="L1862" s="1" t="s">
        <v>35</v>
      </c>
      <c r="M1862" s="1" t="s">
        <v>35</v>
      </c>
      <c r="N1862" s="1">
        <v>33.18</v>
      </c>
      <c r="O1862" s="1" t="s">
        <v>30</v>
      </c>
      <c r="P1862" s="1" t="s">
        <v>37</v>
      </c>
      <c r="Q1862" s="1" t="s">
        <v>16</v>
      </c>
      <c r="R1862" s="1" t="str">
        <f>IF(N1862="","",VLOOKUP(N1862,Prior_levels,2,TRUE))</f>
        <v>H</v>
      </c>
    </row>
    <row r="1863" spans="1:18" x14ac:dyDescent="0.2">
      <c r="A1863" s="1" t="s">
        <v>205</v>
      </c>
      <c r="B1863" s="1" t="s">
        <v>10</v>
      </c>
      <c r="C1863" s="2">
        <v>41155</v>
      </c>
      <c r="D1863" s="1">
        <v>10</v>
      </c>
      <c r="E1863" s="1" t="s">
        <v>52</v>
      </c>
      <c r="I1863" s="1" t="s">
        <v>12</v>
      </c>
      <c r="J1863" s="1" t="s">
        <v>206</v>
      </c>
      <c r="K1863" s="1" t="s">
        <v>14</v>
      </c>
      <c r="L1863" s="1" t="s">
        <v>35</v>
      </c>
      <c r="M1863" s="1" t="s">
        <v>35</v>
      </c>
      <c r="N1863" s="1">
        <v>33.18</v>
      </c>
      <c r="O1863" s="1" t="s">
        <v>31</v>
      </c>
      <c r="P1863" s="1" t="s">
        <v>37</v>
      </c>
      <c r="Q1863" s="1" t="s">
        <v>16</v>
      </c>
      <c r="R1863" s="1" t="str">
        <f>IF(N1863="","",VLOOKUP(N1863,Prior_levels,2,TRUE))</f>
        <v>H</v>
      </c>
    </row>
    <row r="1864" spans="1:18" x14ac:dyDescent="0.2">
      <c r="A1864" s="1" t="s">
        <v>207</v>
      </c>
      <c r="B1864" s="1" t="s">
        <v>12</v>
      </c>
      <c r="C1864" s="2">
        <v>41155</v>
      </c>
      <c r="D1864" s="1">
        <v>10</v>
      </c>
      <c r="E1864" s="1" t="s">
        <v>34</v>
      </c>
      <c r="H1864" s="1" t="s">
        <v>54</v>
      </c>
      <c r="I1864" s="1" t="s">
        <v>12</v>
      </c>
      <c r="J1864" s="1" t="s">
        <v>208</v>
      </c>
      <c r="K1864" s="1" t="s">
        <v>14</v>
      </c>
      <c r="L1864" s="1" t="s">
        <v>12</v>
      </c>
      <c r="M1864" s="1" t="s">
        <v>12</v>
      </c>
      <c r="N1864" s="1">
        <v>15.06</v>
      </c>
      <c r="O1864" s="1" t="s">
        <v>15</v>
      </c>
      <c r="P1864" s="1">
        <v>3.05</v>
      </c>
      <c r="Q1864" s="1" t="s">
        <v>16</v>
      </c>
      <c r="R1864" s="1" t="str">
        <f>IF(N1864="","",VLOOKUP(N1864,Prior_levels,2,TRUE))</f>
        <v>L</v>
      </c>
    </row>
    <row r="1865" spans="1:18" x14ac:dyDescent="0.2">
      <c r="A1865" s="1" t="s">
        <v>207</v>
      </c>
      <c r="B1865" s="1" t="s">
        <v>12</v>
      </c>
      <c r="C1865" s="2">
        <v>41155</v>
      </c>
      <c r="D1865" s="1">
        <v>10</v>
      </c>
      <c r="E1865" s="1" t="s">
        <v>34</v>
      </c>
      <c r="H1865" s="1" t="s">
        <v>54</v>
      </c>
      <c r="I1865" s="1" t="s">
        <v>12</v>
      </c>
      <c r="J1865" s="1" t="s">
        <v>208</v>
      </c>
      <c r="K1865" s="1" t="s">
        <v>14</v>
      </c>
      <c r="L1865" s="1" t="s">
        <v>12</v>
      </c>
      <c r="M1865" s="1" t="s">
        <v>12</v>
      </c>
      <c r="N1865" s="1">
        <v>15.06</v>
      </c>
      <c r="O1865" s="1" t="s">
        <v>17</v>
      </c>
      <c r="P1865" s="1">
        <v>1.1399999999999999</v>
      </c>
      <c r="Q1865" s="1" t="s">
        <v>16</v>
      </c>
      <c r="R1865" s="1" t="str">
        <f>IF(N1865="","",VLOOKUP(N1865,Prior_levels,2,TRUE))</f>
        <v>L</v>
      </c>
    </row>
    <row r="1866" spans="1:18" x14ac:dyDescent="0.2">
      <c r="A1866" s="1" t="s">
        <v>207</v>
      </c>
      <c r="B1866" s="1" t="s">
        <v>12</v>
      </c>
      <c r="C1866" s="2">
        <v>41155</v>
      </c>
      <c r="D1866" s="1">
        <v>10</v>
      </c>
      <c r="E1866" s="1" t="s">
        <v>34</v>
      </c>
      <c r="H1866" s="1" t="s">
        <v>54</v>
      </c>
      <c r="I1866" s="1" t="s">
        <v>12</v>
      </c>
      <c r="J1866" s="1" t="s">
        <v>208</v>
      </c>
      <c r="K1866" s="1" t="s">
        <v>14</v>
      </c>
      <c r="L1866" s="1" t="s">
        <v>12</v>
      </c>
      <c r="M1866" s="1" t="s">
        <v>12</v>
      </c>
      <c r="N1866" s="1">
        <v>15.06</v>
      </c>
      <c r="O1866" s="1" t="s">
        <v>18</v>
      </c>
      <c r="P1866" s="1">
        <v>8</v>
      </c>
      <c r="Q1866" s="1" t="s">
        <v>16</v>
      </c>
      <c r="R1866" s="1" t="str">
        <f>IF(N1866="","",VLOOKUP(N1866,Prior_levels,2,TRUE))</f>
        <v>L</v>
      </c>
    </row>
    <row r="1867" spans="1:18" x14ac:dyDescent="0.2">
      <c r="A1867" s="1" t="s">
        <v>207</v>
      </c>
      <c r="B1867" s="1" t="s">
        <v>12</v>
      </c>
      <c r="C1867" s="2">
        <v>41155</v>
      </c>
      <c r="D1867" s="1">
        <v>10</v>
      </c>
      <c r="E1867" s="1" t="s">
        <v>34</v>
      </c>
      <c r="H1867" s="1" t="s">
        <v>54</v>
      </c>
      <c r="I1867" s="1" t="s">
        <v>12</v>
      </c>
      <c r="J1867" s="1" t="s">
        <v>208</v>
      </c>
      <c r="K1867" s="1" t="s">
        <v>14</v>
      </c>
      <c r="L1867" s="1" t="s">
        <v>12</v>
      </c>
      <c r="M1867" s="1" t="s">
        <v>12</v>
      </c>
      <c r="N1867" s="1">
        <v>15.06</v>
      </c>
      <c r="O1867" s="1" t="s">
        <v>19</v>
      </c>
      <c r="P1867" s="1">
        <v>4</v>
      </c>
      <c r="Q1867" s="1" t="s">
        <v>16</v>
      </c>
      <c r="R1867" s="1" t="str">
        <f>IF(N1867="","",VLOOKUP(N1867,Prior_levels,2,TRUE))</f>
        <v>L</v>
      </c>
    </row>
    <row r="1868" spans="1:18" x14ac:dyDescent="0.2">
      <c r="A1868" s="1" t="s">
        <v>207</v>
      </c>
      <c r="B1868" s="1" t="s">
        <v>12</v>
      </c>
      <c r="C1868" s="2">
        <v>41155</v>
      </c>
      <c r="D1868" s="1">
        <v>10</v>
      </c>
      <c r="E1868" s="1" t="s">
        <v>34</v>
      </c>
      <c r="H1868" s="1" t="s">
        <v>54</v>
      </c>
      <c r="I1868" s="1" t="s">
        <v>12</v>
      </c>
      <c r="J1868" s="1" t="s">
        <v>208</v>
      </c>
      <c r="K1868" s="1" t="s">
        <v>14</v>
      </c>
      <c r="L1868" s="1" t="s">
        <v>12</v>
      </c>
      <c r="M1868" s="1" t="s">
        <v>12</v>
      </c>
      <c r="N1868" s="1">
        <v>15.06</v>
      </c>
      <c r="O1868" s="1" t="s">
        <v>20</v>
      </c>
      <c r="P1868" s="1">
        <v>6</v>
      </c>
      <c r="Q1868" s="1" t="s">
        <v>16</v>
      </c>
      <c r="R1868" s="1" t="str">
        <f>IF(N1868="","",VLOOKUP(N1868,Prior_levels,2,TRUE))</f>
        <v>L</v>
      </c>
    </row>
    <row r="1869" spans="1:18" x14ac:dyDescent="0.2">
      <c r="A1869" s="1" t="s">
        <v>207</v>
      </c>
      <c r="B1869" s="1" t="s">
        <v>12</v>
      </c>
      <c r="C1869" s="2">
        <v>41155</v>
      </c>
      <c r="D1869" s="1">
        <v>10</v>
      </c>
      <c r="E1869" s="1" t="s">
        <v>34</v>
      </c>
      <c r="H1869" s="1" t="s">
        <v>54</v>
      </c>
      <c r="I1869" s="1" t="s">
        <v>12</v>
      </c>
      <c r="J1869" s="1" t="s">
        <v>208</v>
      </c>
      <c r="K1869" s="1" t="s">
        <v>14</v>
      </c>
      <c r="L1869" s="1" t="s">
        <v>12</v>
      </c>
      <c r="M1869" s="1" t="s">
        <v>12</v>
      </c>
      <c r="N1869" s="1">
        <v>15.06</v>
      </c>
      <c r="O1869" s="1" t="s">
        <v>21</v>
      </c>
      <c r="P1869" s="1">
        <v>12.5</v>
      </c>
      <c r="Q1869" s="1" t="s">
        <v>16</v>
      </c>
      <c r="R1869" s="1" t="str">
        <f>IF(N1869="","",VLOOKUP(N1869,Prior_levels,2,TRUE))</f>
        <v>L</v>
      </c>
    </row>
    <row r="1870" spans="1:18" x14ac:dyDescent="0.2">
      <c r="A1870" s="1" t="s">
        <v>207</v>
      </c>
      <c r="B1870" s="1" t="s">
        <v>12</v>
      </c>
      <c r="C1870" s="2">
        <v>41155</v>
      </c>
      <c r="D1870" s="1">
        <v>10</v>
      </c>
      <c r="E1870" s="1" t="s">
        <v>34</v>
      </c>
      <c r="H1870" s="1" t="s">
        <v>54</v>
      </c>
      <c r="I1870" s="1" t="s">
        <v>12</v>
      </c>
      <c r="J1870" s="1" t="s">
        <v>208</v>
      </c>
      <c r="K1870" s="1" t="s">
        <v>14</v>
      </c>
      <c r="L1870" s="1" t="s">
        <v>12</v>
      </c>
      <c r="M1870" s="1" t="s">
        <v>12</v>
      </c>
      <c r="N1870" s="1">
        <v>15.06</v>
      </c>
      <c r="O1870" s="1" t="s">
        <v>22</v>
      </c>
      <c r="P1870" s="1">
        <v>1.34</v>
      </c>
      <c r="Q1870" s="1" t="s">
        <v>16</v>
      </c>
      <c r="R1870" s="1" t="str">
        <f>IF(N1870="","",VLOOKUP(N1870,Prior_levels,2,TRUE))</f>
        <v>L</v>
      </c>
    </row>
    <row r="1871" spans="1:18" x14ac:dyDescent="0.2">
      <c r="A1871" s="1" t="s">
        <v>207</v>
      </c>
      <c r="B1871" s="1" t="s">
        <v>12</v>
      </c>
      <c r="C1871" s="2">
        <v>41155</v>
      </c>
      <c r="D1871" s="1">
        <v>10</v>
      </c>
      <c r="E1871" s="1" t="s">
        <v>34</v>
      </c>
      <c r="H1871" s="1" t="s">
        <v>54</v>
      </c>
      <c r="I1871" s="1" t="s">
        <v>12</v>
      </c>
      <c r="J1871" s="1" t="s">
        <v>208</v>
      </c>
      <c r="K1871" s="1" t="s">
        <v>14</v>
      </c>
      <c r="L1871" s="1" t="s">
        <v>12</v>
      </c>
      <c r="M1871" s="1" t="s">
        <v>12</v>
      </c>
      <c r="N1871" s="1">
        <v>15.06</v>
      </c>
      <c r="O1871" s="1" t="s">
        <v>23</v>
      </c>
      <c r="P1871" s="1">
        <v>0.68</v>
      </c>
      <c r="Q1871" s="1" t="s">
        <v>16</v>
      </c>
      <c r="R1871" s="1" t="str">
        <f>IF(N1871="","",VLOOKUP(N1871,Prior_levels,2,TRUE))</f>
        <v>L</v>
      </c>
    </row>
    <row r="1872" spans="1:18" x14ac:dyDescent="0.2">
      <c r="A1872" s="1" t="s">
        <v>207</v>
      </c>
      <c r="B1872" s="1" t="s">
        <v>12</v>
      </c>
      <c r="C1872" s="2">
        <v>41155</v>
      </c>
      <c r="D1872" s="1">
        <v>10</v>
      </c>
      <c r="E1872" s="1" t="s">
        <v>34</v>
      </c>
      <c r="H1872" s="1" t="s">
        <v>54</v>
      </c>
      <c r="I1872" s="1" t="s">
        <v>12</v>
      </c>
      <c r="J1872" s="1" t="s">
        <v>208</v>
      </c>
      <c r="K1872" s="1" t="s">
        <v>14</v>
      </c>
      <c r="L1872" s="1" t="s">
        <v>12</v>
      </c>
      <c r="M1872" s="1" t="s">
        <v>12</v>
      </c>
      <c r="N1872" s="1">
        <v>15.06</v>
      </c>
      <c r="O1872" s="1" t="s">
        <v>24</v>
      </c>
      <c r="P1872" s="1">
        <v>3.44</v>
      </c>
      <c r="Q1872" s="1" t="s">
        <v>16</v>
      </c>
      <c r="R1872" s="1" t="str">
        <f>IF(N1872="","",VLOOKUP(N1872,Prior_levels,2,TRUE))</f>
        <v>L</v>
      </c>
    </row>
    <row r="1873" spans="1:18" x14ac:dyDescent="0.2">
      <c r="A1873" s="1" t="s">
        <v>207</v>
      </c>
      <c r="B1873" s="1" t="s">
        <v>12</v>
      </c>
      <c r="C1873" s="2">
        <v>41155</v>
      </c>
      <c r="D1873" s="1">
        <v>10</v>
      </c>
      <c r="E1873" s="1" t="s">
        <v>34</v>
      </c>
      <c r="H1873" s="1" t="s">
        <v>54</v>
      </c>
      <c r="I1873" s="1" t="s">
        <v>12</v>
      </c>
      <c r="J1873" s="1" t="s">
        <v>208</v>
      </c>
      <c r="K1873" s="1" t="s">
        <v>14</v>
      </c>
      <c r="L1873" s="1" t="s">
        <v>12</v>
      </c>
      <c r="M1873" s="1" t="s">
        <v>12</v>
      </c>
      <c r="N1873" s="1">
        <v>15.06</v>
      </c>
      <c r="O1873" s="1" t="s">
        <v>25</v>
      </c>
      <c r="P1873" s="1">
        <v>3.87</v>
      </c>
      <c r="Q1873" s="1" t="s">
        <v>16</v>
      </c>
      <c r="R1873" s="1" t="str">
        <f>IF(N1873="","",VLOOKUP(N1873,Prior_levels,2,TRUE))</f>
        <v>L</v>
      </c>
    </row>
    <row r="1874" spans="1:18" x14ac:dyDescent="0.2">
      <c r="A1874" s="1" t="s">
        <v>207</v>
      </c>
      <c r="B1874" s="1" t="s">
        <v>12</v>
      </c>
      <c r="C1874" s="2">
        <v>41155</v>
      </c>
      <c r="D1874" s="1">
        <v>10</v>
      </c>
      <c r="E1874" s="1" t="s">
        <v>34</v>
      </c>
      <c r="H1874" s="1" t="s">
        <v>54</v>
      </c>
      <c r="I1874" s="1" t="s">
        <v>12</v>
      </c>
      <c r="J1874" s="1" t="s">
        <v>208</v>
      </c>
      <c r="K1874" s="1" t="s">
        <v>14</v>
      </c>
      <c r="L1874" s="1" t="s">
        <v>12</v>
      </c>
      <c r="M1874" s="1" t="s">
        <v>12</v>
      </c>
      <c r="N1874" s="1">
        <v>15.06</v>
      </c>
      <c r="O1874" s="1" t="s">
        <v>26</v>
      </c>
      <c r="P1874" s="1">
        <v>1</v>
      </c>
      <c r="Q1874" s="1" t="s">
        <v>16</v>
      </c>
      <c r="R1874" s="1" t="str">
        <f>IF(N1874="","",VLOOKUP(N1874,Prior_levels,2,TRUE))</f>
        <v>L</v>
      </c>
    </row>
    <row r="1875" spans="1:18" x14ac:dyDescent="0.2">
      <c r="A1875" s="1" t="s">
        <v>207</v>
      </c>
      <c r="B1875" s="1" t="s">
        <v>12</v>
      </c>
      <c r="C1875" s="2">
        <v>41155</v>
      </c>
      <c r="D1875" s="1">
        <v>10</v>
      </c>
      <c r="E1875" s="1" t="s">
        <v>34</v>
      </c>
      <c r="H1875" s="1" t="s">
        <v>54</v>
      </c>
      <c r="I1875" s="1" t="s">
        <v>12</v>
      </c>
      <c r="J1875" s="1" t="s">
        <v>208</v>
      </c>
      <c r="K1875" s="1" t="s">
        <v>14</v>
      </c>
      <c r="L1875" s="1" t="s">
        <v>12</v>
      </c>
      <c r="M1875" s="1" t="s">
        <v>12</v>
      </c>
      <c r="N1875" s="1">
        <v>15.06</v>
      </c>
      <c r="O1875" s="1" t="s">
        <v>32</v>
      </c>
      <c r="P1875" s="1" t="s">
        <v>28</v>
      </c>
      <c r="Q1875" s="1" t="s">
        <v>16</v>
      </c>
      <c r="R1875" s="1" t="str">
        <f>IF(N1875="","",VLOOKUP(N1875,Prior_levels,2,TRUE))</f>
        <v>L</v>
      </c>
    </row>
    <row r="1876" spans="1:18" x14ac:dyDescent="0.2">
      <c r="A1876" s="1" t="s">
        <v>207</v>
      </c>
      <c r="B1876" s="1" t="s">
        <v>12</v>
      </c>
      <c r="C1876" s="2">
        <v>41155</v>
      </c>
      <c r="D1876" s="1">
        <v>10</v>
      </c>
      <c r="E1876" s="1" t="s">
        <v>34</v>
      </c>
      <c r="H1876" s="1" t="s">
        <v>54</v>
      </c>
      <c r="I1876" s="1" t="s">
        <v>12</v>
      </c>
      <c r="J1876" s="1" t="s">
        <v>208</v>
      </c>
      <c r="K1876" s="1" t="s">
        <v>14</v>
      </c>
      <c r="L1876" s="1" t="s">
        <v>12</v>
      </c>
      <c r="M1876" s="1" t="s">
        <v>12</v>
      </c>
      <c r="N1876" s="1">
        <v>15.06</v>
      </c>
      <c r="O1876" s="1" t="s">
        <v>27</v>
      </c>
      <c r="P1876" s="1" t="s">
        <v>28</v>
      </c>
      <c r="Q1876" s="1" t="s">
        <v>16</v>
      </c>
      <c r="R1876" s="1" t="str">
        <f>IF(N1876="","",VLOOKUP(N1876,Prior_levels,2,TRUE))</f>
        <v>L</v>
      </c>
    </row>
    <row r="1877" spans="1:18" x14ac:dyDescent="0.2">
      <c r="A1877" s="1" t="s">
        <v>207</v>
      </c>
      <c r="B1877" s="1" t="s">
        <v>12</v>
      </c>
      <c r="C1877" s="2">
        <v>41155</v>
      </c>
      <c r="D1877" s="1">
        <v>10</v>
      </c>
      <c r="E1877" s="1" t="s">
        <v>34</v>
      </c>
      <c r="H1877" s="1" t="s">
        <v>54</v>
      </c>
      <c r="I1877" s="1" t="s">
        <v>12</v>
      </c>
      <c r="J1877" s="1" t="s">
        <v>208</v>
      </c>
      <c r="K1877" s="1" t="s">
        <v>14</v>
      </c>
      <c r="L1877" s="1" t="s">
        <v>12</v>
      </c>
      <c r="M1877" s="1" t="s">
        <v>12</v>
      </c>
      <c r="N1877" s="1">
        <v>15.06</v>
      </c>
      <c r="O1877" s="1" t="s">
        <v>29</v>
      </c>
      <c r="P1877" s="1" t="s">
        <v>28</v>
      </c>
      <c r="Q1877" s="1" t="s">
        <v>16</v>
      </c>
      <c r="R1877" s="1" t="str">
        <f>IF(N1877="","",VLOOKUP(N1877,Prior_levels,2,TRUE))</f>
        <v>L</v>
      </c>
    </row>
    <row r="1878" spans="1:18" x14ac:dyDescent="0.2">
      <c r="A1878" s="1" t="s">
        <v>207</v>
      </c>
      <c r="B1878" s="1" t="s">
        <v>12</v>
      </c>
      <c r="C1878" s="2">
        <v>41155</v>
      </c>
      <c r="D1878" s="1">
        <v>10</v>
      </c>
      <c r="E1878" s="1" t="s">
        <v>34</v>
      </c>
      <c r="H1878" s="1" t="s">
        <v>54</v>
      </c>
      <c r="I1878" s="1" t="s">
        <v>12</v>
      </c>
      <c r="J1878" s="1" t="s">
        <v>208</v>
      </c>
      <c r="K1878" s="1" t="s">
        <v>14</v>
      </c>
      <c r="L1878" s="1" t="s">
        <v>12</v>
      </c>
      <c r="M1878" s="1" t="s">
        <v>12</v>
      </c>
      <c r="N1878" s="1">
        <v>15.06</v>
      </c>
      <c r="O1878" s="1" t="s">
        <v>30</v>
      </c>
      <c r="P1878" s="1" t="s">
        <v>28</v>
      </c>
      <c r="Q1878" s="1" t="s">
        <v>16</v>
      </c>
      <c r="R1878" s="1" t="str">
        <f>IF(N1878="","",VLOOKUP(N1878,Prior_levels,2,TRUE))</f>
        <v>L</v>
      </c>
    </row>
    <row r="1879" spans="1:18" x14ac:dyDescent="0.2">
      <c r="A1879" s="1" t="s">
        <v>207</v>
      </c>
      <c r="B1879" s="1" t="s">
        <v>12</v>
      </c>
      <c r="C1879" s="2">
        <v>41155</v>
      </c>
      <c r="D1879" s="1">
        <v>10</v>
      </c>
      <c r="E1879" s="1" t="s">
        <v>34</v>
      </c>
      <c r="H1879" s="1" t="s">
        <v>54</v>
      </c>
      <c r="I1879" s="1" t="s">
        <v>12</v>
      </c>
      <c r="J1879" s="1" t="s">
        <v>208</v>
      </c>
      <c r="K1879" s="1" t="s">
        <v>14</v>
      </c>
      <c r="L1879" s="1" t="s">
        <v>12</v>
      </c>
      <c r="M1879" s="1" t="s">
        <v>12</v>
      </c>
      <c r="N1879" s="1">
        <v>15.06</v>
      </c>
      <c r="O1879" s="1" t="s">
        <v>31</v>
      </c>
      <c r="P1879" s="1" t="s">
        <v>28</v>
      </c>
      <c r="Q1879" s="1" t="s">
        <v>16</v>
      </c>
      <c r="R1879" s="1" t="str">
        <f>IF(N1879="","",VLOOKUP(N1879,Prior_levels,2,TRUE))</f>
        <v>L</v>
      </c>
    </row>
    <row r="1880" spans="1:18" x14ac:dyDescent="0.2">
      <c r="A1880" s="1" t="s">
        <v>209</v>
      </c>
      <c r="B1880" s="1" t="s">
        <v>12</v>
      </c>
      <c r="C1880" s="2">
        <v>41155</v>
      </c>
      <c r="D1880" s="1">
        <v>10</v>
      </c>
      <c r="E1880" s="1" t="s">
        <v>42</v>
      </c>
      <c r="F1880" s="1" t="s">
        <v>100</v>
      </c>
      <c r="H1880" s="1" t="s">
        <v>48</v>
      </c>
      <c r="I1880" s="1" t="s">
        <v>12</v>
      </c>
      <c r="J1880" s="1" t="s">
        <v>210</v>
      </c>
      <c r="K1880" s="1" t="s">
        <v>14</v>
      </c>
      <c r="L1880" s="1" t="s">
        <v>12</v>
      </c>
      <c r="M1880" s="1" t="s">
        <v>12</v>
      </c>
      <c r="N1880" s="1">
        <v>15.06</v>
      </c>
      <c r="O1880" s="1" t="s">
        <v>15</v>
      </c>
      <c r="P1880" s="1">
        <v>2.7</v>
      </c>
      <c r="Q1880" s="1" t="s">
        <v>16</v>
      </c>
      <c r="R1880" s="1" t="str">
        <f>IF(N1880="","",VLOOKUP(N1880,Prior_levels,2,TRUE))</f>
        <v>L</v>
      </c>
    </row>
    <row r="1881" spans="1:18" x14ac:dyDescent="0.2">
      <c r="A1881" s="1" t="s">
        <v>209</v>
      </c>
      <c r="B1881" s="1" t="s">
        <v>12</v>
      </c>
      <c r="C1881" s="2">
        <v>41155</v>
      </c>
      <c r="D1881" s="1">
        <v>10</v>
      </c>
      <c r="E1881" s="1" t="s">
        <v>42</v>
      </c>
      <c r="F1881" s="1" t="s">
        <v>100</v>
      </c>
      <c r="H1881" s="1" t="s">
        <v>48</v>
      </c>
      <c r="I1881" s="1" t="s">
        <v>12</v>
      </c>
      <c r="J1881" s="1" t="s">
        <v>210</v>
      </c>
      <c r="K1881" s="1" t="s">
        <v>14</v>
      </c>
      <c r="L1881" s="1" t="s">
        <v>12</v>
      </c>
      <c r="M1881" s="1" t="s">
        <v>12</v>
      </c>
      <c r="N1881" s="1">
        <v>15.06</v>
      </c>
      <c r="O1881" s="1" t="s">
        <v>17</v>
      </c>
      <c r="P1881" s="1">
        <v>0.79</v>
      </c>
      <c r="Q1881" s="1" t="s">
        <v>16</v>
      </c>
      <c r="R1881" s="1" t="str">
        <f>IF(N1881="","",VLOOKUP(N1881,Prior_levels,2,TRUE))</f>
        <v>L</v>
      </c>
    </row>
    <row r="1882" spans="1:18" x14ac:dyDescent="0.2">
      <c r="A1882" s="1" t="s">
        <v>209</v>
      </c>
      <c r="B1882" s="1" t="s">
        <v>12</v>
      </c>
      <c r="C1882" s="2">
        <v>41155</v>
      </c>
      <c r="D1882" s="1">
        <v>10</v>
      </c>
      <c r="E1882" s="1" t="s">
        <v>42</v>
      </c>
      <c r="F1882" s="1" t="s">
        <v>100</v>
      </c>
      <c r="H1882" s="1" t="s">
        <v>48</v>
      </c>
      <c r="I1882" s="1" t="s">
        <v>12</v>
      </c>
      <c r="J1882" s="1" t="s">
        <v>210</v>
      </c>
      <c r="K1882" s="1" t="s">
        <v>14</v>
      </c>
      <c r="L1882" s="1" t="s">
        <v>12</v>
      </c>
      <c r="M1882" s="1" t="s">
        <v>12</v>
      </c>
      <c r="N1882" s="1">
        <v>15.06</v>
      </c>
      <c r="O1882" s="1" t="s">
        <v>18</v>
      </c>
      <c r="P1882" s="1">
        <v>6</v>
      </c>
      <c r="Q1882" s="1" t="s">
        <v>16</v>
      </c>
      <c r="R1882" s="1" t="str">
        <f>IF(N1882="","",VLOOKUP(N1882,Prior_levels,2,TRUE))</f>
        <v>L</v>
      </c>
    </row>
    <row r="1883" spans="1:18" x14ac:dyDescent="0.2">
      <c r="A1883" s="1" t="s">
        <v>209</v>
      </c>
      <c r="B1883" s="1" t="s">
        <v>12</v>
      </c>
      <c r="C1883" s="2">
        <v>41155</v>
      </c>
      <c r="D1883" s="1">
        <v>10</v>
      </c>
      <c r="E1883" s="1" t="s">
        <v>42</v>
      </c>
      <c r="F1883" s="1" t="s">
        <v>100</v>
      </c>
      <c r="H1883" s="1" t="s">
        <v>48</v>
      </c>
      <c r="I1883" s="1" t="s">
        <v>12</v>
      </c>
      <c r="J1883" s="1" t="s">
        <v>210</v>
      </c>
      <c r="K1883" s="1" t="s">
        <v>14</v>
      </c>
      <c r="L1883" s="1" t="s">
        <v>12</v>
      </c>
      <c r="M1883" s="1" t="s">
        <v>12</v>
      </c>
      <c r="N1883" s="1">
        <v>15.06</v>
      </c>
      <c r="O1883" s="1" t="s">
        <v>19</v>
      </c>
      <c r="P1883" s="1">
        <v>6</v>
      </c>
      <c r="Q1883" s="1" t="s">
        <v>16</v>
      </c>
      <c r="R1883" s="1" t="str">
        <f>IF(N1883="","",VLOOKUP(N1883,Prior_levels,2,TRUE))</f>
        <v>L</v>
      </c>
    </row>
    <row r="1884" spans="1:18" x14ac:dyDescent="0.2">
      <c r="A1884" s="1" t="s">
        <v>209</v>
      </c>
      <c r="B1884" s="1" t="s">
        <v>12</v>
      </c>
      <c r="C1884" s="2">
        <v>41155</v>
      </c>
      <c r="D1884" s="1">
        <v>10</v>
      </c>
      <c r="E1884" s="1" t="s">
        <v>42</v>
      </c>
      <c r="F1884" s="1" t="s">
        <v>100</v>
      </c>
      <c r="H1884" s="1" t="s">
        <v>48</v>
      </c>
      <c r="I1884" s="1" t="s">
        <v>12</v>
      </c>
      <c r="J1884" s="1" t="s">
        <v>210</v>
      </c>
      <c r="K1884" s="1" t="s">
        <v>14</v>
      </c>
      <c r="L1884" s="1" t="s">
        <v>12</v>
      </c>
      <c r="M1884" s="1" t="s">
        <v>12</v>
      </c>
      <c r="N1884" s="1">
        <v>15.06</v>
      </c>
      <c r="O1884" s="1" t="s">
        <v>20</v>
      </c>
      <c r="P1884" s="1">
        <v>6</v>
      </c>
      <c r="Q1884" s="1" t="s">
        <v>16</v>
      </c>
      <c r="R1884" s="1" t="str">
        <f>IF(N1884="","",VLOOKUP(N1884,Prior_levels,2,TRUE))</f>
        <v>L</v>
      </c>
    </row>
    <row r="1885" spans="1:18" x14ac:dyDescent="0.2">
      <c r="A1885" s="1" t="s">
        <v>209</v>
      </c>
      <c r="B1885" s="1" t="s">
        <v>12</v>
      </c>
      <c r="C1885" s="2">
        <v>41155</v>
      </c>
      <c r="D1885" s="1">
        <v>10</v>
      </c>
      <c r="E1885" s="1" t="s">
        <v>42</v>
      </c>
      <c r="F1885" s="1" t="s">
        <v>100</v>
      </c>
      <c r="H1885" s="1" t="s">
        <v>48</v>
      </c>
      <c r="I1885" s="1" t="s">
        <v>12</v>
      </c>
      <c r="J1885" s="1" t="s">
        <v>210</v>
      </c>
      <c r="K1885" s="1" t="s">
        <v>14</v>
      </c>
      <c r="L1885" s="1" t="s">
        <v>12</v>
      </c>
      <c r="M1885" s="1" t="s">
        <v>12</v>
      </c>
      <c r="N1885" s="1">
        <v>15.06</v>
      </c>
      <c r="O1885" s="1" t="s">
        <v>21</v>
      </c>
      <c r="P1885" s="1">
        <v>9</v>
      </c>
      <c r="Q1885" s="1" t="s">
        <v>16</v>
      </c>
      <c r="R1885" s="1" t="str">
        <f>IF(N1885="","",VLOOKUP(N1885,Prior_levels,2,TRUE))</f>
        <v>L</v>
      </c>
    </row>
    <row r="1886" spans="1:18" x14ac:dyDescent="0.2">
      <c r="A1886" s="1" t="s">
        <v>209</v>
      </c>
      <c r="B1886" s="1" t="s">
        <v>12</v>
      </c>
      <c r="C1886" s="2">
        <v>41155</v>
      </c>
      <c r="D1886" s="1">
        <v>10</v>
      </c>
      <c r="E1886" s="1" t="s">
        <v>42</v>
      </c>
      <c r="F1886" s="1" t="s">
        <v>100</v>
      </c>
      <c r="H1886" s="1" t="s">
        <v>48</v>
      </c>
      <c r="I1886" s="1" t="s">
        <v>12</v>
      </c>
      <c r="J1886" s="1" t="s">
        <v>210</v>
      </c>
      <c r="K1886" s="1" t="s">
        <v>14</v>
      </c>
      <c r="L1886" s="1" t="s">
        <v>12</v>
      </c>
      <c r="M1886" s="1" t="s">
        <v>12</v>
      </c>
      <c r="N1886" s="1">
        <v>15.06</v>
      </c>
      <c r="O1886" s="1" t="s">
        <v>22</v>
      </c>
      <c r="P1886" s="1">
        <v>0.34</v>
      </c>
      <c r="Q1886" s="1" t="s">
        <v>16</v>
      </c>
      <c r="R1886" s="1" t="str">
        <f>IF(N1886="","",VLOOKUP(N1886,Prior_levels,2,TRUE))</f>
        <v>L</v>
      </c>
    </row>
    <row r="1887" spans="1:18" x14ac:dyDescent="0.2">
      <c r="A1887" s="1" t="s">
        <v>209</v>
      </c>
      <c r="B1887" s="1" t="s">
        <v>12</v>
      </c>
      <c r="C1887" s="2">
        <v>41155</v>
      </c>
      <c r="D1887" s="1">
        <v>10</v>
      </c>
      <c r="E1887" s="1" t="s">
        <v>42</v>
      </c>
      <c r="F1887" s="1" t="s">
        <v>100</v>
      </c>
      <c r="H1887" s="1" t="s">
        <v>48</v>
      </c>
      <c r="I1887" s="1" t="s">
        <v>12</v>
      </c>
      <c r="J1887" s="1" t="s">
        <v>210</v>
      </c>
      <c r="K1887" s="1" t="s">
        <v>14</v>
      </c>
      <c r="L1887" s="1" t="s">
        <v>12</v>
      </c>
      <c r="M1887" s="1" t="s">
        <v>12</v>
      </c>
      <c r="N1887" s="1">
        <v>15.06</v>
      </c>
      <c r="O1887" s="1" t="s">
        <v>23</v>
      </c>
      <c r="P1887" s="1">
        <v>1.68</v>
      </c>
      <c r="Q1887" s="1" t="s">
        <v>16</v>
      </c>
      <c r="R1887" s="1" t="str">
        <f>IF(N1887="","",VLOOKUP(N1887,Prior_levels,2,TRUE))</f>
        <v>L</v>
      </c>
    </row>
    <row r="1888" spans="1:18" x14ac:dyDescent="0.2">
      <c r="A1888" s="1" t="s">
        <v>209</v>
      </c>
      <c r="B1888" s="1" t="s">
        <v>12</v>
      </c>
      <c r="C1888" s="2">
        <v>41155</v>
      </c>
      <c r="D1888" s="1">
        <v>10</v>
      </c>
      <c r="E1888" s="1" t="s">
        <v>42</v>
      </c>
      <c r="F1888" s="1" t="s">
        <v>100</v>
      </c>
      <c r="H1888" s="1" t="s">
        <v>48</v>
      </c>
      <c r="I1888" s="1" t="s">
        <v>12</v>
      </c>
      <c r="J1888" s="1" t="s">
        <v>210</v>
      </c>
      <c r="K1888" s="1" t="s">
        <v>14</v>
      </c>
      <c r="L1888" s="1" t="s">
        <v>12</v>
      </c>
      <c r="M1888" s="1" t="s">
        <v>12</v>
      </c>
      <c r="N1888" s="1">
        <v>15.06</v>
      </c>
      <c r="O1888" s="1" t="s">
        <v>24</v>
      </c>
      <c r="P1888" s="1">
        <v>3.44</v>
      </c>
      <c r="Q1888" s="1" t="s">
        <v>16</v>
      </c>
      <c r="R1888" s="1" t="str">
        <f>IF(N1888="","",VLOOKUP(N1888,Prior_levels,2,TRUE))</f>
        <v>L</v>
      </c>
    </row>
    <row r="1889" spans="1:18" x14ac:dyDescent="0.2">
      <c r="A1889" s="1" t="s">
        <v>209</v>
      </c>
      <c r="B1889" s="1" t="s">
        <v>12</v>
      </c>
      <c r="C1889" s="2">
        <v>41155</v>
      </c>
      <c r="D1889" s="1">
        <v>10</v>
      </c>
      <c r="E1889" s="1" t="s">
        <v>42</v>
      </c>
      <c r="F1889" s="1" t="s">
        <v>100</v>
      </c>
      <c r="H1889" s="1" t="s">
        <v>48</v>
      </c>
      <c r="I1889" s="1" t="s">
        <v>12</v>
      </c>
      <c r="J1889" s="1" t="s">
        <v>210</v>
      </c>
      <c r="K1889" s="1" t="s">
        <v>14</v>
      </c>
      <c r="L1889" s="1" t="s">
        <v>12</v>
      </c>
      <c r="M1889" s="1" t="s">
        <v>12</v>
      </c>
      <c r="N1889" s="1">
        <v>15.06</v>
      </c>
      <c r="O1889" s="1" t="s">
        <v>25</v>
      </c>
      <c r="P1889" s="1">
        <v>0.37</v>
      </c>
      <c r="Q1889" s="1" t="s">
        <v>16</v>
      </c>
      <c r="R1889" s="1" t="str">
        <f>IF(N1889="","",VLOOKUP(N1889,Prior_levels,2,TRUE))</f>
        <v>L</v>
      </c>
    </row>
    <row r="1890" spans="1:18" x14ac:dyDescent="0.2">
      <c r="A1890" s="1" t="s">
        <v>209</v>
      </c>
      <c r="B1890" s="1" t="s">
        <v>12</v>
      </c>
      <c r="C1890" s="2">
        <v>41155</v>
      </c>
      <c r="D1890" s="1">
        <v>10</v>
      </c>
      <c r="E1890" s="1" t="s">
        <v>42</v>
      </c>
      <c r="F1890" s="1" t="s">
        <v>100</v>
      </c>
      <c r="H1890" s="1" t="s">
        <v>48</v>
      </c>
      <c r="I1890" s="1" t="s">
        <v>12</v>
      </c>
      <c r="J1890" s="1" t="s">
        <v>210</v>
      </c>
      <c r="K1890" s="1" t="s">
        <v>14</v>
      </c>
      <c r="L1890" s="1" t="s">
        <v>12</v>
      </c>
      <c r="M1890" s="1" t="s">
        <v>12</v>
      </c>
      <c r="N1890" s="1">
        <v>15.06</v>
      </c>
      <c r="O1890" s="1" t="s">
        <v>26</v>
      </c>
      <c r="P1890" s="1">
        <v>1</v>
      </c>
      <c r="Q1890" s="1" t="s">
        <v>16</v>
      </c>
      <c r="R1890" s="1" t="str">
        <f>IF(N1890="","",VLOOKUP(N1890,Prior_levels,2,TRUE))</f>
        <v>L</v>
      </c>
    </row>
    <row r="1891" spans="1:18" x14ac:dyDescent="0.2">
      <c r="A1891" s="1" t="s">
        <v>209</v>
      </c>
      <c r="B1891" s="1" t="s">
        <v>12</v>
      </c>
      <c r="C1891" s="2">
        <v>41155</v>
      </c>
      <c r="D1891" s="1">
        <v>10</v>
      </c>
      <c r="E1891" s="1" t="s">
        <v>42</v>
      </c>
      <c r="F1891" s="1" t="s">
        <v>100</v>
      </c>
      <c r="H1891" s="1" t="s">
        <v>48</v>
      </c>
      <c r="I1891" s="1" t="s">
        <v>12</v>
      </c>
      <c r="J1891" s="1" t="s">
        <v>210</v>
      </c>
      <c r="K1891" s="1" t="s">
        <v>14</v>
      </c>
      <c r="L1891" s="1" t="s">
        <v>12</v>
      </c>
      <c r="M1891" s="1" t="s">
        <v>12</v>
      </c>
      <c r="N1891" s="1">
        <v>15.06</v>
      </c>
      <c r="O1891" s="1" t="s">
        <v>27</v>
      </c>
      <c r="P1891" s="1" t="s">
        <v>28</v>
      </c>
      <c r="Q1891" s="1" t="s">
        <v>16</v>
      </c>
      <c r="R1891" s="1" t="str">
        <f>IF(N1891="","",VLOOKUP(N1891,Prior_levels,2,TRUE))</f>
        <v>L</v>
      </c>
    </row>
    <row r="1892" spans="1:18" x14ac:dyDescent="0.2">
      <c r="A1892" s="1" t="s">
        <v>209</v>
      </c>
      <c r="B1892" s="1" t="s">
        <v>12</v>
      </c>
      <c r="C1892" s="2">
        <v>41155</v>
      </c>
      <c r="D1892" s="1">
        <v>10</v>
      </c>
      <c r="E1892" s="1" t="s">
        <v>42</v>
      </c>
      <c r="F1892" s="1" t="s">
        <v>100</v>
      </c>
      <c r="H1892" s="1" t="s">
        <v>48</v>
      </c>
      <c r="I1892" s="1" t="s">
        <v>12</v>
      </c>
      <c r="J1892" s="1" t="s">
        <v>210</v>
      </c>
      <c r="K1892" s="1" t="s">
        <v>14</v>
      </c>
      <c r="L1892" s="1" t="s">
        <v>12</v>
      </c>
      <c r="M1892" s="1" t="s">
        <v>12</v>
      </c>
      <c r="N1892" s="1">
        <v>15.06</v>
      </c>
      <c r="O1892" s="1" t="s">
        <v>29</v>
      </c>
      <c r="P1892" s="1" t="s">
        <v>28</v>
      </c>
      <c r="Q1892" s="1" t="s">
        <v>16</v>
      </c>
      <c r="R1892" s="1" t="str">
        <f>IF(N1892="","",VLOOKUP(N1892,Prior_levels,2,TRUE))</f>
        <v>L</v>
      </c>
    </row>
    <row r="1893" spans="1:18" x14ac:dyDescent="0.2">
      <c r="A1893" s="1" t="s">
        <v>209</v>
      </c>
      <c r="B1893" s="1" t="s">
        <v>12</v>
      </c>
      <c r="C1893" s="2">
        <v>41155</v>
      </c>
      <c r="D1893" s="1">
        <v>10</v>
      </c>
      <c r="E1893" s="1" t="s">
        <v>42</v>
      </c>
      <c r="F1893" s="1" t="s">
        <v>100</v>
      </c>
      <c r="H1893" s="1" t="s">
        <v>48</v>
      </c>
      <c r="I1893" s="1" t="s">
        <v>12</v>
      </c>
      <c r="J1893" s="1" t="s">
        <v>210</v>
      </c>
      <c r="K1893" s="1" t="s">
        <v>14</v>
      </c>
      <c r="L1893" s="1" t="s">
        <v>12</v>
      </c>
      <c r="M1893" s="1" t="s">
        <v>12</v>
      </c>
      <c r="N1893" s="1">
        <v>15.06</v>
      </c>
      <c r="O1893" s="1" t="s">
        <v>30</v>
      </c>
      <c r="P1893" s="1" t="s">
        <v>28</v>
      </c>
      <c r="Q1893" s="1" t="s">
        <v>16</v>
      </c>
      <c r="R1893" s="1" t="str">
        <f>IF(N1893="","",VLOOKUP(N1893,Prior_levels,2,TRUE))</f>
        <v>L</v>
      </c>
    </row>
    <row r="1894" spans="1:18" x14ac:dyDescent="0.2">
      <c r="A1894" s="1" t="s">
        <v>209</v>
      </c>
      <c r="B1894" s="1" t="s">
        <v>12</v>
      </c>
      <c r="C1894" s="2">
        <v>41155</v>
      </c>
      <c r="D1894" s="1">
        <v>10</v>
      </c>
      <c r="E1894" s="1" t="s">
        <v>42</v>
      </c>
      <c r="F1894" s="1" t="s">
        <v>100</v>
      </c>
      <c r="H1894" s="1" t="s">
        <v>48</v>
      </c>
      <c r="I1894" s="1" t="s">
        <v>12</v>
      </c>
      <c r="J1894" s="1" t="s">
        <v>210</v>
      </c>
      <c r="K1894" s="1" t="s">
        <v>14</v>
      </c>
      <c r="L1894" s="1" t="s">
        <v>12</v>
      </c>
      <c r="M1894" s="1" t="s">
        <v>12</v>
      </c>
      <c r="N1894" s="1">
        <v>15.06</v>
      </c>
      <c r="O1894" s="1" t="s">
        <v>31</v>
      </c>
      <c r="P1894" s="1" t="s">
        <v>28</v>
      </c>
      <c r="Q1894" s="1" t="s">
        <v>16</v>
      </c>
      <c r="R1894" s="1" t="str">
        <f>IF(N1894="","",VLOOKUP(N1894,Prior_levels,2,TRUE))</f>
        <v>L</v>
      </c>
    </row>
    <row r="1895" spans="1:18" x14ac:dyDescent="0.2">
      <c r="A1895" s="1" t="s">
        <v>209</v>
      </c>
      <c r="B1895" s="1" t="s">
        <v>12</v>
      </c>
      <c r="C1895" s="2">
        <v>41155</v>
      </c>
      <c r="D1895" s="1">
        <v>10</v>
      </c>
      <c r="E1895" s="1" t="s">
        <v>42</v>
      </c>
      <c r="F1895" s="1" t="s">
        <v>100</v>
      </c>
      <c r="H1895" s="1" t="s">
        <v>48</v>
      </c>
      <c r="I1895" s="1" t="s">
        <v>12</v>
      </c>
      <c r="J1895" s="1" t="s">
        <v>210</v>
      </c>
      <c r="K1895" s="1" t="s">
        <v>14</v>
      </c>
      <c r="L1895" s="1" t="s">
        <v>12</v>
      </c>
      <c r="M1895" s="1" t="s">
        <v>12</v>
      </c>
      <c r="N1895" s="1">
        <v>15.06</v>
      </c>
      <c r="O1895" s="1" t="s">
        <v>32</v>
      </c>
      <c r="P1895" s="1" t="s">
        <v>28</v>
      </c>
      <c r="Q1895" s="1" t="s">
        <v>16</v>
      </c>
      <c r="R1895" s="1" t="str">
        <f>IF(N1895="","",VLOOKUP(N1895,Prior_levels,2,TRUE))</f>
        <v>L</v>
      </c>
    </row>
    <row r="1896" spans="1:18" x14ac:dyDescent="0.2">
      <c r="A1896" s="1" t="s">
        <v>211</v>
      </c>
      <c r="B1896" s="1" t="s">
        <v>10</v>
      </c>
      <c r="C1896" s="2">
        <v>41155</v>
      </c>
      <c r="D1896" s="1">
        <v>10</v>
      </c>
      <c r="E1896" s="1" t="s">
        <v>52</v>
      </c>
      <c r="F1896" s="1" t="s">
        <v>28</v>
      </c>
      <c r="H1896" s="1" t="s">
        <v>48</v>
      </c>
      <c r="I1896" s="1" t="s">
        <v>12</v>
      </c>
      <c r="J1896" s="1" t="s">
        <v>212</v>
      </c>
      <c r="K1896" s="1" t="s">
        <v>213</v>
      </c>
      <c r="L1896" s="1" t="s">
        <v>12</v>
      </c>
      <c r="M1896" s="1" t="s">
        <v>12</v>
      </c>
      <c r="N1896" s="1">
        <v>27.12</v>
      </c>
      <c r="O1896" s="1" t="s">
        <v>15</v>
      </c>
      <c r="P1896" s="1">
        <v>4.5</v>
      </c>
      <c r="Q1896" s="1" t="s">
        <v>16</v>
      </c>
      <c r="R1896" s="1" t="str">
        <f>IF(N1896="","",VLOOKUP(N1896,Prior_levels,2,TRUE))</f>
        <v>M</v>
      </c>
    </row>
    <row r="1897" spans="1:18" x14ac:dyDescent="0.2">
      <c r="A1897" s="1" t="s">
        <v>211</v>
      </c>
      <c r="B1897" s="1" t="s">
        <v>10</v>
      </c>
      <c r="C1897" s="2">
        <v>41155</v>
      </c>
      <c r="D1897" s="1">
        <v>10</v>
      </c>
      <c r="E1897" s="1" t="s">
        <v>52</v>
      </c>
      <c r="F1897" s="1" t="s">
        <v>28</v>
      </c>
      <c r="H1897" s="1" t="s">
        <v>48</v>
      </c>
      <c r="I1897" s="1" t="s">
        <v>12</v>
      </c>
      <c r="J1897" s="1" t="s">
        <v>212</v>
      </c>
      <c r="K1897" s="1" t="s">
        <v>213</v>
      </c>
      <c r="L1897" s="1" t="s">
        <v>12</v>
      </c>
      <c r="M1897" s="1" t="s">
        <v>12</v>
      </c>
      <c r="N1897" s="1">
        <v>27.12</v>
      </c>
      <c r="O1897" s="1" t="s">
        <v>17</v>
      </c>
      <c r="P1897" s="1">
        <v>-0.05</v>
      </c>
      <c r="Q1897" s="1" t="s">
        <v>16</v>
      </c>
      <c r="R1897" s="1" t="str">
        <f>IF(N1897="","",VLOOKUP(N1897,Prior_levels,2,TRUE))</f>
        <v>M</v>
      </c>
    </row>
    <row r="1898" spans="1:18" x14ac:dyDescent="0.2">
      <c r="A1898" s="1" t="s">
        <v>211</v>
      </c>
      <c r="B1898" s="1" t="s">
        <v>10</v>
      </c>
      <c r="C1898" s="2">
        <v>41155</v>
      </c>
      <c r="D1898" s="1">
        <v>10</v>
      </c>
      <c r="E1898" s="1" t="s">
        <v>52</v>
      </c>
      <c r="F1898" s="1" t="s">
        <v>28</v>
      </c>
      <c r="H1898" s="1" t="s">
        <v>48</v>
      </c>
      <c r="I1898" s="1" t="s">
        <v>12</v>
      </c>
      <c r="J1898" s="1" t="s">
        <v>212</v>
      </c>
      <c r="K1898" s="1" t="s">
        <v>213</v>
      </c>
      <c r="L1898" s="1" t="s">
        <v>12</v>
      </c>
      <c r="M1898" s="1" t="s">
        <v>12</v>
      </c>
      <c r="N1898" s="1">
        <v>27.12</v>
      </c>
      <c r="O1898" s="1" t="s">
        <v>18</v>
      </c>
      <c r="P1898" s="1">
        <v>10</v>
      </c>
      <c r="Q1898" s="1" t="s">
        <v>16</v>
      </c>
      <c r="R1898" s="1" t="str">
        <f>IF(N1898="","",VLOOKUP(N1898,Prior_levels,2,TRUE))</f>
        <v>M</v>
      </c>
    </row>
    <row r="1899" spans="1:18" x14ac:dyDescent="0.2">
      <c r="A1899" s="1" t="s">
        <v>211</v>
      </c>
      <c r="B1899" s="1" t="s">
        <v>10</v>
      </c>
      <c r="C1899" s="2">
        <v>41155</v>
      </c>
      <c r="D1899" s="1">
        <v>10</v>
      </c>
      <c r="E1899" s="1" t="s">
        <v>52</v>
      </c>
      <c r="F1899" s="1" t="s">
        <v>28</v>
      </c>
      <c r="H1899" s="1" t="s">
        <v>48</v>
      </c>
      <c r="I1899" s="1" t="s">
        <v>12</v>
      </c>
      <c r="J1899" s="1" t="s">
        <v>212</v>
      </c>
      <c r="K1899" s="1" t="s">
        <v>213</v>
      </c>
      <c r="L1899" s="1" t="s">
        <v>12</v>
      </c>
      <c r="M1899" s="1" t="s">
        <v>12</v>
      </c>
      <c r="N1899" s="1">
        <v>27.12</v>
      </c>
      <c r="O1899" s="1" t="s">
        <v>19</v>
      </c>
      <c r="P1899" s="1">
        <v>10</v>
      </c>
      <c r="Q1899" s="1" t="s">
        <v>16</v>
      </c>
      <c r="R1899" s="1" t="str">
        <f>IF(N1899="","",VLOOKUP(N1899,Prior_levels,2,TRUE))</f>
        <v>M</v>
      </c>
    </row>
    <row r="1900" spans="1:18" x14ac:dyDescent="0.2">
      <c r="A1900" s="1" t="s">
        <v>211</v>
      </c>
      <c r="B1900" s="1" t="s">
        <v>10</v>
      </c>
      <c r="C1900" s="2">
        <v>41155</v>
      </c>
      <c r="D1900" s="1">
        <v>10</v>
      </c>
      <c r="E1900" s="1" t="s">
        <v>52</v>
      </c>
      <c r="F1900" s="1" t="s">
        <v>28</v>
      </c>
      <c r="H1900" s="1" t="s">
        <v>48</v>
      </c>
      <c r="I1900" s="1" t="s">
        <v>12</v>
      </c>
      <c r="J1900" s="1" t="s">
        <v>212</v>
      </c>
      <c r="K1900" s="1" t="s">
        <v>213</v>
      </c>
      <c r="L1900" s="1" t="s">
        <v>12</v>
      </c>
      <c r="M1900" s="1" t="s">
        <v>12</v>
      </c>
      <c r="N1900" s="1">
        <v>27.12</v>
      </c>
      <c r="O1900" s="1" t="s">
        <v>20</v>
      </c>
      <c r="P1900" s="1">
        <v>12</v>
      </c>
      <c r="Q1900" s="1" t="s">
        <v>16</v>
      </c>
      <c r="R1900" s="1" t="str">
        <f>IF(N1900="","",VLOOKUP(N1900,Prior_levels,2,TRUE))</f>
        <v>M</v>
      </c>
    </row>
    <row r="1901" spans="1:18" x14ac:dyDescent="0.2">
      <c r="A1901" s="1" t="s">
        <v>211</v>
      </c>
      <c r="B1901" s="1" t="s">
        <v>10</v>
      </c>
      <c r="C1901" s="2">
        <v>41155</v>
      </c>
      <c r="D1901" s="1">
        <v>10</v>
      </c>
      <c r="E1901" s="1" t="s">
        <v>52</v>
      </c>
      <c r="F1901" s="1" t="s">
        <v>28</v>
      </c>
      <c r="H1901" s="1" t="s">
        <v>48</v>
      </c>
      <c r="I1901" s="1" t="s">
        <v>12</v>
      </c>
      <c r="J1901" s="1" t="s">
        <v>212</v>
      </c>
      <c r="K1901" s="1" t="s">
        <v>213</v>
      </c>
      <c r="L1901" s="1" t="s">
        <v>12</v>
      </c>
      <c r="M1901" s="1" t="s">
        <v>12</v>
      </c>
      <c r="N1901" s="1">
        <v>27.12</v>
      </c>
      <c r="O1901" s="1" t="s">
        <v>21</v>
      </c>
      <c r="P1901" s="1">
        <v>13</v>
      </c>
      <c r="Q1901" s="1" t="s">
        <v>16</v>
      </c>
      <c r="R1901" s="1" t="str">
        <f>IF(N1901="","",VLOOKUP(N1901,Prior_levels,2,TRUE))</f>
        <v>M</v>
      </c>
    </row>
    <row r="1902" spans="1:18" x14ac:dyDescent="0.2">
      <c r="A1902" s="1" t="s">
        <v>211</v>
      </c>
      <c r="B1902" s="1" t="s">
        <v>10</v>
      </c>
      <c r="C1902" s="2">
        <v>41155</v>
      </c>
      <c r="D1902" s="1">
        <v>10</v>
      </c>
      <c r="E1902" s="1" t="s">
        <v>52</v>
      </c>
      <c r="F1902" s="1" t="s">
        <v>28</v>
      </c>
      <c r="H1902" s="1" t="s">
        <v>48</v>
      </c>
      <c r="I1902" s="1" t="s">
        <v>12</v>
      </c>
      <c r="J1902" s="1" t="s">
        <v>212</v>
      </c>
      <c r="K1902" s="1" t="s">
        <v>213</v>
      </c>
      <c r="L1902" s="1" t="s">
        <v>12</v>
      </c>
      <c r="M1902" s="1" t="s">
        <v>12</v>
      </c>
      <c r="N1902" s="1">
        <v>27.12</v>
      </c>
      <c r="O1902" s="1" t="s">
        <v>22</v>
      </c>
      <c r="P1902" s="1">
        <v>-0.05</v>
      </c>
      <c r="Q1902" s="1" t="s">
        <v>16</v>
      </c>
      <c r="R1902" s="1" t="str">
        <f>IF(N1902="","",VLOOKUP(N1902,Prior_levels,2,TRUE))</f>
        <v>M</v>
      </c>
    </row>
    <row r="1903" spans="1:18" x14ac:dyDescent="0.2">
      <c r="A1903" s="1" t="s">
        <v>211</v>
      </c>
      <c r="B1903" s="1" t="s">
        <v>10</v>
      </c>
      <c r="C1903" s="2">
        <v>41155</v>
      </c>
      <c r="D1903" s="1">
        <v>10</v>
      </c>
      <c r="E1903" s="1" t="s">
        <v>52</v>
      </c>
      <c r="F1903" s="1" t="s">
        <v>28</v>
      </c>
      <c r="H1903" s="1" t="s">
        <v>48</v>
      </c>
      <c r="I1903" s="1" t="s">
        <v>12</v>
      </c>
      <c r="J1903" s="1" t="s">
        <v>212</v>
      </c>
      <c r="K1903" s="1" t="s">
        <v>213</v>
      </c>
      <c r="L1903" s="1" t="s">
        <v>12</v>
      </c>
      <c r="M1903" s="1" t="s">
        <v>12</v>
      </c>
      <c r="N1903" s="1">
        <v>27.12</v>
      </c>
      <c r="O1903" s="1" t="s">
        <v>23</v>
      </c>
      <c r="P1903" s="1">
        <v>0.36</v>
      </c>
      <c r="Q1903" s="1" t="s">
        <v>16</v>
      </c>
      <c r="R1903" s="1" t="str">
        <f>IF(N1903="","",VLOOKUP(N1903,Prior_levels,2,TRUE))</f>
        <v>M</v>
      </c>
    </row>
    <row r="1904" spans="1:18" x14ac:dyDescent="0.2">
      <c r="A1904" s="1" t="s">
        <v>211</v>
      </c>
      <c r="B1904" s="1" t="s">
        <v>10</v>
      </c>
      <c r="C1904" s="2">
        <v>41155</v>
      </c>
      <c r="D1904" s="1">
        <v>10</v>
      </c>
      <c r="E1904" s="1" t="s">
        <v>52</v>
      </c>
      <c r="F1904" s="1" t="s">
        <v>28</v>
      </c>
      <c r="H1904" s="1" t="s">
        <v>48</v>
      </c>
      <c r="I1904" s="1" t="s">
        <v>12</v>
      </c>
      <c r="J1904" s="1" t="s">
        <v>212</v>
      </c>
      <c r="K1904" s="1" t="s">
        <v>213</v>
      </c>
      <c r="L1904" s="1" t="s">
        <v>12</v>
      </c>
      <c r="M1904" s="1" t="s">
        <v>12</v>
      </c>
      <c r="N1904" s="1">
        <v>27.12</v>
      </c>
      <c r="O1904" s="1" t="s">
        <v>24</v>
      </c>
      <c r="P1904" s="1">
        <v>0.75</v>
      </c>
      <c r="Q1904" s="1" t="s">
        <v>16</v>
      </c>
      <c r="R1904" s="1" t="str">
        <f>IF(N1904="","",VLOOKUP(N1904,Prior_levels,2,TRUE))</f>
        <v>M</v>
      </c>
    </row>
    <row r="1905" spans="1:18" x14ac:dyDescent="0.2">
      <c r="A1905" s="1" t="s">
        <v>211</v>
      </c>
      <c r="B1905" s="1" t="s">
        <v>10</v>
      </c>
      <c r="C1905" s="2">
        <v>41155</v>
      </c>
      <c r="D1905" s="1">
        <v>10</v>
      </c>
      <c r="E1905" s="1" t="s">
        <v>52</v>
      </c>
      <c r="F1905" s="1" t="s">
        <v>28</v>
      </c>
      <c r="H1905" s="1" t="s">
        <v>48</v>
      </c>
      <c r="I1905" s="1" t="s">
        <v>12</v>
      </c>
      <c r="J1905" s="1" t="s">
        <v>212</v>
      </c>
      <c r="K1905" s="1" t="s">
        <v>213</v>
      </c>
      <c r="L1905" s="1" t="s">
        <v>12</v>
      </c>
      <c r="M1905" s="1" t="s">
        <v>12</v>
      </c>
      <c r="N1905" s="1">
        <v>27.12</v>
      </c>
      <c r="O1905" s="1" t="s">
        <v>25</v>
      </c>
      <c r="P1905" s="1">
        <v>-1.89</v>
      </c>
      <c r="Q1905" s="1" t="s">
        <v>16</v>
      </c>
      <c r="R1905" s="1" t="str">
        <f>IF(N1905="","",VLOOKUP(N1905,Prior_levels,2,TRUE))</f>
        <v>M</v>
      </c>
    </row>
    <row r="1906" spans="1:18" x14ac:dyDescent="0.2">
      <c r="A1906" s="1" t="s">
        <v>211</v>
      </c>
      <c r="B1906" s="1" t="s">
        <v>10</v>
      </c>
      <c r="C1906" s="2">
        <v>41155</v>
      </c>
      <c r="D1906" s="1">
        <v>10</v>
      </c>
      <c r="E1906" s="1" t="s">
        <v>52</v>
      </c>
      <c r="F1906" s="1" t="s">
        <v>28</v>
      </c>
      <c r="H1906" s="1" t="s">
        <v>48</v>
      </c>
      <c r="I1906" s="1" t="s">
        <v>12</v>
      </c>
      <c r="J1906" s="1" t="s">
        <v>212</v>
      </c>
      <c r="K1906" s="1" t="s">
        <v>213</v>
      </c>
      <c r="L1906" s="1" t="s">
        <v>12</v>
      </c>
      <c r="M1906" s="1" t="s">
        <v>12</v>
      </c>
      <c r="N1906" s="1">
        <v>27.12</v>
      </c>
      <c r="O1906" s="1" t="s">
        <v>26</v>
      </c>
      <c r="P1906" s="1">
        <v>11</v>
      </c>
      <c r="Q1906" s="1" t="s">
        <v>16</v>
      </c>
      <c r="R1906" s="1" t="str">
        <f>IF(N1906="","",VLOOKUP(N1906,Prior_levels,2,TRUE))</f>
        <v>M</v>
      </c>
    </row>
    <row r="1907" spans="1:18" x14ac:dyDescent="0.2">
      <c r="A1907" s="1" t="s">
        <v>211</v>
      </c>
      <c r="B1907" s="1" t="s">
        <v>10</v>
      </c>
      <c r="C1907" s="2">
        <v>41155</v>
      </c>
      <c r="D1907" s="1">
        <v>10</v>
      </c>
      <c r="E1907" s="1" t="s">
        <v>52</v>
      </c>
      <c r="F1907" s="1" t="s">
        <v>28</v>
      </c>
      <c r="H1907" s="1" t="s">
        <v>48</v>
      </c>
      <c r="I1907" s="1" t="s">
        <v>12</v>
      </c>
      <c r="J1907" s="1" t="s">
        <v>212</v>
      </c>
      <c r="K1907" s="1" t="s">
        <v>213</v>
      </c>
      <c r="L1907" s="1" t="s">
        <v>12</v>
      </c>
      <c r="M1907" s="1" t="s">
        <v>12</v>
      </c>
      <c r="N1907" s="1">
        <v>27.12</v>
      </c>
      <c r="O1907" s="1" t="s">
        <v>32</v>
      </c>
      <c r="P1907" s="1" t="s">
        <v>37</v>
      </c>
      <c r="Q1907" s="1" t="s">
        <v>16</v>
      </c>
      <c r="R1907" s="1" t="str">
        <f>IF(N1907="","",VLOOKUP(N1907,Prior_levels,2,TRUE))</f>
        <v>M</v>
      </c>
    </row>
    <row r="1908" spans="1:18" x14ac:dyDescent="0.2">
      <c r="A1908" s="1" t="s">
        <v>211</v>
      </c>
      <c r="B1908" s="1" t="s">
        <v>10</v>
      </c>
      <c r="C1908" s="2">
        <v>41155</v>
      </c>
      <c r="D1908" s="1">
        <v>10</v>
      </c>
      <c r="E1908" s="1" t="s">
        <v>52</v>
      </c>
      <c r="F1908" s="1" t="s">
        <v>28</v>
      </c>
      <c r="H1908" s="1" t="s">
        <v>48</v>
      </c>
      <c r="I1908" s="1" t="s">
        <v>12</v>
      </c>
      <c r="J1908" s="1" t="s">
        <v>212</v>
      </c>
      <c r="K1908" s="1" t="s">
        <v>213</v>
      </c>
      <c r="L1908" s="1" t="s">
        <v>12</v>
      </c>
      <c r="M1908" s="1" t="s">
        <v>12</v>
      </c>
      <c r="N1908" s="1">
        <v>27.12</v>
      </c>
      <c r="O1908" s="1" t="s">
        <v>27</v>
      </c>
      <c r="P1908" s="1" t="s">
        <v>37</v>
      </c>
      <c r="Q1908" s="1" t="s">
        <v>16</v>
      </c>
      <c r="R1908" s="1" t="str">
        <f>IF(N1908="","",VLOOKUP(N1908,Prior_levels,2,TRUE))</f>
        <v>M</v>
      </c>
    </row>
    <row r="1909" spans="1:18" x14ac:dyDescent="0.2">
      <c r="A1909" s="1" t="s">
        <v>211</v>
      </c>
      <c r="B1909" s="1" t="s">
        <v>10</v>
      </c>
      <c r="C1909" s="2">
        <v>41155</v>
      </c>
      <c r="D1909" s="1">
        <v>10</v>
      </c>
      <c r="E1909" s="1" t="s">
        <v>52</v>
      </c>
      <c r="F1909" s="1" t="s">
        <v>28</v>
      </c>
      <c r="H1909" s="1" t="s">
        <v>48</v>
      </c>
      <c r="I1909" s="1" t="s">
        <v>12</v>
      </c>
      <c r="J1909" s="1" t="s">
        <v>212</v>
      </c>
      <c r="K1909" s="1" t="s">
        <v>213</v>
      </c>
      <c r="L1909" s="1" t="s">
        <v>12</v>
      </c>
      <c r="M1909" s="1" t="s">
        <v>12</v>
      </c>
      <c r="N1909" s="1">
        <v>27.12</v>
      </c>
      <c r="O1909" s="1" t="s">
        <v>29</v>
      </c>
      <c r="P1909" s="1" t="s">
        <v>37</v>
      </c>
      <c r="Q1909" s="1" t="s">
        <v>16</v>
      </c>
      <c r="R1909" s="1" t="str">
        <f>IF(N1909="","",VLOOKUP(N1909,Prior_levels,2,TRUE))</f>
        <v>M</v>
      </c>
    </row>
    <row r="1910" spans="1:18" x14ac:dyDescent="0.2">
      <c r="A1910" s="1" t="s">
        <v>211</v>
      </c>
      <c r="B1910" s="1" t="s">
        <v>10</v>
      </c>
      <c r="C1910" s="2">
        <v>41155</v>
      </c>
      <c r="D1910" s="1">
        <v>10</v>
      </c>
      <c r="E1910" s="1" t="s">
        <v>52</v>
      </c>
      <c r="F1910" s="1" t="s">
        <v>28</v>
      </c>
      <c r="H1910" s="1" t="s">
        <v>48</v>
      </c>
      <c r="I1910" s="1" t="s">
        <v>12</v>
      </c>
      <c r="J1910" s="1" t="s">
        <v>212</v>
      </c>
      <c r="K1910" s="1" t="s">
        <v>213</v>
      </c>
      <c r="L1910" s="1" t="s">
        <v>12</v>
      </c>
      <c r="M1910" s="1" t="s">
        <v>12</v>
      </c>
      <c r="N1910" s="1">
        <v>27.12</v>
      </c>
      <c r="O1910" s="1" t="s">
        <v>30</v>
      </c>
      <c r="P1910" s="1" t="s">
        <v>37</v>
      </c>
      <c r="Q1910" s="1" t="s">
        <v>16</v>
      </c>
      <c r="R1910" s="1" t="str">
        <f>IF(N1910="","",VLOOKUP(N1910,Prior_levels,2,TRUE))</f>
        <v>M</v>
      </c>
    </row>
    <row r="1911" spans="1:18" x14ac:dyDescent="0.2">
      <c r="A1911" s="1" t="s">
        <v>211</v>
      </c>
      <c r="B1911" s="1" t="s">
        <v>10</v>
      </c>
      <c r="C1911" s="2">
        <v>41155</v>
      </c>
      <c r="D1911" s="1">
        <v>10</v>
      </c>
      <c r="E1911" s="1" t="s">
        <v>52</v>
      </c>
      <c r="F1911" s="1" t="s">
        <v>28</v>
      </c>
      <c r="H1911" s="1" t="s">
        <v>48</v>
      </c>
      <c r="I1911" s="1" t="s">
        <v>12</v>
      </c>
      <c r="J1911" s="1" t="s">
        <v>212</v>
      </c>
      <c r="K1911" s="1" t="s">
        <v>213</v>
      </c>
      <c r="L1911" s="1" t="s">
        <v>12</v>
      </c>
      <c r="M1911" s="1" t="s">
        <v>12</v>
      </c>
      <c r="N1911" s="1">
        <v>27.12</v>
      </c>
      <c r="O1911" s="1" t="s">
        <v>31</v>
      </c>
      <c r="P1911" s="1" t="s">
        <v>37</v>
      </c>
      <c r="Q1911" s="1" t="s">
        <v>16</v>
      </c>
      <c r="R1911" s="1" t="str">
        <f>IF(N1911="","",VLOOKUP(N1911,Prior_levels,2,TRUE))</f>
        <v>M</v>
      </c>
    </row>
    <row r="1912" spans="1:18" x14ac:dyDescent="0.2">
      <c r="A1912" s="1" t="s">
        <v>214</v>
      </c>
      <c r="B1912" s="1" t="s">
        <v>10</v>
      </c>
      <c r="C1912" s="2">
        <v>41155</v>
      </c>
      <c r="D1912" s="1">
        <v>10</v>
      </c>
      <c r="E1912" s="1" t="s">
        <v>52</v>
      </c>
      <c r="F1912" s="1" t="s">
        <v>28</v>
      </c>
      <c r="H1912" s="1" t="s">
        <v>48</v>
      </c>
      <c r="I1912" s="1" t="s">
        <v>12</v>
      </c>
      <c r="J1912" s="1" t="s">
        <v>215</v>
      </c>
      <c r="K1912" s="1" t="s">
        <v>169</v>
      </c>
      <c r="L1912" s="1" t="s">
        <v>12</v>
      </c>
      <c r="M1912" s="1" t="s">
        <v>12</v>
      </c>
      <c r="N1912" s="1">
        <v>39.18</v>
      </c>
      <c r="O1912" s="1" t="s">
        <v>15</v>
      </c>
      <c r="P1912" s="1">
        <v>7</v>
      </c>
      <c r="Q1912" s="1" t="s">
        <v>16</v>
      </c>
      <c r="R1912" s="1" t="str">
        <f>IF(N1912="","",VLOOKUP(N1912,Prior_levels,2,TRUE))</f>
        <v>H</v>
      </c>
    </row>
    <row r="1913" spans="1:18" x14ac:dyDescent="0.2">
      <c r="A1913" s="1" t="s">
        <v>214</v>
      </c>
      <c r="B1913" s="1" t="s">
        <v>10</v>
      </c>
      <c r="C1913" s="2">
        <v>41155</v>
      </c>
      <c r="D1913" s="1">
        <v>10</v>
      </c>
      <c r="E1913" s="1" t="s">
        <v>52</v>
      </c>
      <c r="F1913" s="1" t="s">
        <v>28</v>
      </c>
      <c r="H1913" s="1" t="s">
        <v>48</v>
      </c>
      <c r="I1913" s="1" t="s">
        <v>12</v>
      </c>
      <c r="J1913" s="1" t="s">
        <v>215</v>
      </c>
      <c r="K1913" s="1" t="s">
        <v>169</v>
      </c>
      <c r="L1913" s="1" t="s">
        <v>12</v>
      </c>
      <c r="M1913" s="1" t="s">
        <v>12</v>
      </c>
      <c r="N1913" s="1">
        <v>39.18</v>
      </c>
      <c r="O1913" s="1" t="s">
        <v>18</v>
      </c>
      <c r="P1913" s="1">
        <v>14</v>
      </c>
      <c r="Q1913" s="1" t="s">
        <v>16</v>
      </c>
      <c r="R1913" s="1" t="str">
        <f>IF(N1913="","",VLOOKUP(N1913,Prior_levels,2,TRUE))</f>
        <v>H</v>
      </c>
    </row>
    <row r="1914" spans="1:18" x14ac:dyDescent="0.2">
      <c r="A1914" s="1" t="s">
        <v>214</v>
      </c>
      <c r="B1914" s="1" t="s">
        <v>10</v>
      </c>
      <c r="C1914" s="2">
        <v>41155</v>
      </c>
      <c r="D1914" s="1">
        <v>10</v>
      </c>
      <c r="E1914" s="1" t="s">
        <v>52</v>
      </c>
      <c r="F1914" s="1" t="s">
        <v>28</v>
      </c>
      <c r="H1914" s="1" t="s">
        <v>48</v>
      </c>
      <c r="I1914" s="1" t="s">
        <v>12</v>
      </c>
      <c r="J1914" s="1" t="s">
        <v>215</v>
      </c>
      <c r="K1914" s="1" t="s">
        <v>169</v>
      </c>
      <c r="L1914" s="1" t="s">
        <v>12</v>
      </c>
      <c r="M1914" s="1" t="s">
        <v>12</v>
      </c>
      <c r="N1914" s="1">
        <v>39.18</v>
      </c>
      <c r="O1914" s="1" t="s">
        <v>19</v>
      </c>
      <c r="P1914" s="1">
        <v>14</v>
      </c>
      <c r="Q1914" s="1" t="s">
        <v>16</v>
      </c>
      <c r="R1914" s="1" t="str">
        <f>IF(N1914="","",VLOOKUP(N1914,Prior_levels,2,TRUE))</f>
        <v>H</v>
      </c>
    </row>
    <row r="1915" spans="1:18" x14ac:dyDescent="0.2">
      <c r="A1915" s="1" t="s">
        <v>214</v>
      </c>
      <c r="B1915" s="1" t="s">
        <v>10</v>
      </c>
      <c r="C1915" s="2">
        <v>41155</v>
      </c>
      <c r="D1915" s="1">
        <v>10</v>
      </c>
      <c r="E1915" s="1" t="s">
        <v>52</v>
      </c>
      <c r="F1915" s="1" t="s">
        <v>28</v>
      </c>
      <c r="H1915" s="1" t="s">
        <v>48</v>
      </c>
      <c r="I1915" s="1" t="s">
        <v>12</v>
      </c>
      <c r="J1915" s="1" t="s">
        <v>215</v>
      </c>
      <c r="K1915" s="1" t="s">
        <v>169</v>
      </c>
      <c r="L1915" s="1" t="s">
        <v>12</v>
      </c>
      <c r="M1915" s="1" t="s">
        <v>12</v>
      </c>
      <c r="N1915" s="1">
        <v>39.18</v>
      </c>
      <c r="O1915" s="1" t="s">
        <v>20</v>
      </c>
      <c r="P1915" s="1">
        <v>21</v>
      </c>
      <c r="Q1915" s="1" t="s">
        <v>16</v>
      </c>
      <c r="R1915" s="1" t="str">
        <f>IF(N1915="","",VLOOKUP(N1915,Prior_levels,2,TRUE))</f>
        <v>H</v>
      </c>
    </row>
    <row r="1916" spans="1:18" x14ac:dyDescent="0.2">
      <c r="A1916" s="1" t="s">
        <v>214</v>
      </c>
      <c r="B1916" s="1" t="s">
        <v>10</v>
      </c>
      <c r="C1916" s="2">
        <v>41155</v>
      </c>
      <c r="D1916" s="1">
        <v>10</v>
      </c>
      <c r="E1916" s="1" t="s">
        <v>52</v>
      </c>
      <c r="F1916" s="1" t="s">
        <v>28</v>
      </c>
      <c r="H1916" s="1" t="s">
        <v>48</v>
      </c>
      <c r="I1916" s="1" t="s">
        <v>12</v>
      </c>
      <c r="J1916" s="1" t="s">
        <v>215</v>
      </c>
      <c r="K1916" s="1" t="s">
        <v>169</v>
      </c>
      <c r="L1916" s="1" t="s">
        <v>12</v>
      </c>
      <c r="M1916" s="1" t="s">
        <v>12</v>
      </c>
      <c r="N1916" s="1">
        <v>39.18</v>
      </c>
      <c r="O1916" s="1" t="s">
        <v>21</v>
      </c>
      <c r="P1916" s="1">
        <v>21</v>
      </c>
      <c r="Q1916" s="1" t="s">
        <v>16</v>
      </c>
      <c r="R1916" s="1" t="str">
        <f>IF(N1916="","",VLOOKUP(N1916,Prior_levels,2,TRUE))</f>
        <v>H</v>
      </c>
    </row>
    <row r="1917" spans="1:18" x14ac:dyDescent="0.2">
      <c r="A1917" s="1" t="s">
        <v>214</v>
      </c>
      <c r="B1917" s="1" t="s">
        <v>10</v>
      </c>
      <c r="C1917" s="2">
        <v>41155</v>
      </c>
      <c r="D1917" s="1">
        <v>10</v>
      </c>
      <c r="E1917" s="1" t="s">
        <v>52</v>
      </c>
      <c r="F1917" s="1" t="s">
        <v>28</v>
      </c>
      <c r="H1917" s="1" t="s">
        <v>48</v>
      </c>
      <c r="I1917" s="1" t="s">
        <v>12</v>
      </c>
      <c r="J1917" s="1" t="s">
        <v>215</v>
      </c>
      <c r="K1917" s="1" t="s">
        <v>169</v>
      </c>
      <c r="L1917" s="1" t="s">
        <v>12</v>
      </c>
      <c r="M1917" s="1" t="s">
        <v>12</v>
      </c>
      <c r="N1917" s="1">
        <v>39.18</v>
      </c>
      <c r="O1917" s="1" t="s">
        <v>26</v>
      </c>
      <c r="P1917" s="1">
        <v>11</v>
      </c>
      <c r="Q1917" s="1" t="s">
        <v>16</v>
      </c>
      <c r="R1917" s="1" t="str">
        <f>IF(N1917="","",VLOOKUP(N1917,Prior_levels,2,TRUE))</f>
        <v>H</v>
      </c>
    </row>
    <row r="1918" spans="1:18" x14ac:dyDescent="0.2">
      <c r="A1918" s="1" t="s">
        <v>214</v>
      </c>
      <c r="B1918" s="1" t="s">
        <v>10</v>
      </c>
      <c r="C1918" s="2">
        <v>41155</v>
      </c>
      <c r="D1918" s="1">
        <v>10</v>
      </c>
      <c r="E1918" s="1" t="s">
        <v>52</v>
      </c>
      <c r="F1918" s="1" t="s">
        <v>28</v>
      </c>
      <c r="H1918" s="1" t="s">
        <v>48</v>
      </c>
      <c r="I1918" s="1" t="s">
        <v>12</v>
      </c>
      <c r="J1918" s="1" t="s">
        <v>215</v>
      </c>
      <c r="K1918" s="1" t="s">
        <v>169</v>
      </c>
      <c r="L1918" s="1" t="s">
        <v>12</v>
      </c>
      <c r="M1918" s="1" t="s">
        <v>12</v>
      </c>
      <c r="N1918" s="1">
        <v>39.18</v>
      </c>
      <c r="O1918" s="1" t="s">
        <v>32</v>
      </c>
      <c r="P1918" s="1" t="s">
        <v>37</v>
      </c>
      <c r="Q1918" s="1" t="s">
        <v>16</v>
      </c>
      <c r="R1918" s="1" t="str">
        <f>IF(N1918="","",VLOOKUP(N1918,Prior_levels,2,TRUE))</f>
        <v>H</v>
      </c>
    </row>
    <row r="1919" spans="1:18" x14ac:dyDescent="0.2">
      <c r="A1919" s="1" t="s">
        <v>214</v>
      </c>
      <c r="B1919" s="1" t="s">
        <v>10</v>
      </c>
      <c r="C1919" s="2">
        <v>41155</v>
      </c>
      <c r="D1919" s="1">
        <v>10</v>
      </c>
      <c r="E1919" s="1" t="s">
        <v>52</v>
      </c>
      <c r="F1919" s="1" t="s">
        <v>28</v>
      </c>
      <c r="H1919" s="1" t="s">
        <v>48</v>
      </c>
      <c r="I1919" s="1" t="s">
        <v>12</v>
      </c>
      <c r="J1919" s="1" t="s">
        <v>215</v>
      </c>
      <c r="K1919" s="1" t="s">
        <v>169</v>
      </c>
      <c r="L1919" s="1" t="s">
        <v>12</v>
      </c>
      <c r="M1919" s="1" t="s">
        <v>12</v>
      </c>
      <c r="N1919" s="1">
        <v>39.18</v>
      </c>
      <c r="O1919" s="1" t="s">
        <v>27</v>
      </c>
      <c r="P1919" s="1" t="s">
        <v>37</v>
      </c>
      <c r="Q1919" s="1" t="s">
        <v>16</v>
      </c>
      <c r="R1919" s="1" t="str">
        <f>IF(N1919="","",VLOOKUP(N1919,Prior_levels,2,TRUE))</f>
        <v>H</v>
      </c>
    </row>
    <row r="1920" spans="1:18" x14ac:dyDescent="0.2">
      <c r="A1920" s="1" t="s">
        <v>214</v>
      </c>
      <c r="B1920" s="1" t="s">
        <v>10</v>
      </c>
      <c r="C1920" s="2">
        <v>41155</v>
      </c>
      <c r="D1920" s="1">
        <v>10</v>
      </c>
      <c r="E1920" s="1" t="s">
        <v>52</v>
      </c>
      <c r="F1920" s="1" t="s">
        <v>28</v>
      </c>
      <c r="H1920" s="1" t="s">
        <v>48</v>
      </c>
      <c r="I1920" s="1" t="s">
        <v>12</v>
      </c>
      <c r="J1920" s="1" t="s">
        <v>215</v>
      </c>
      <c r="K1920" s="1" t="s">
        <v>169</v>
      </c>
      <c r="L1920" s="1" t="s">
        <v>12</v>
      </c>
      <c r="M1920" s="1" t="s">
        <v>12</v>
      </c>
      <c r="N1920" s="1">
        <v>39.18</v>
      </c>
      <c r="O1920" s="1" t="s">
        <v>29</v>
      </c>
      <c r="P1920" s="1" t="s">
        <v>37</v>
      </c>
      <c r="Q1920" s="1" t="s">
        <v>16</v>
      </c>
      <c r="R1920" s="1" t="str">
        <f>IF(N1920="","",VLOOKUP(N1920,Prior_levels,2,TRUE))</f>
        <v>H</v>
      </c>
    </row>
    <row r="1921" spans="1:18" x14ac:dyDescent="0.2">
      <c r="A1921" s="1" t="s">
        <v>214</v>
      </c>
      <c r="B1921" s="1" t="s">
        <v>10</v>
      </c>
      <c r="C1921" s="2">
        <v>41155</v>
      </c>
      <c r="D1921" s="1">
        <v>10</v>
      </c>
      <c r="E1921" s="1" t="s">
        <v>52</v>
      </c>
      <c r="F1921" s="1" t="s">
        <v>28</v>
      </c>
      <c r="H1921" s="1" t="s">
        <v>48</v>
      </c>
      <c r="I1921" s="1" t="s">
        <v>12</v>
      </c>
      <c r="J1921" s="1" t="s">
        <v>215</v>
      </c>
      <c r="K1921" s="1" t="s">
        <v>169</v>
      </c>
      <c r="L1921" s="1" t="s">
        <v>12</v>
      </c>
      <c r="M1921" s="1" t="s">
        <v>12</v>
      </c>
      <c r="N1921" s="1">
        <v>39.18</v>
      </c>
      <c r="O1921" s="1" t="s">
        <v>30</v>
      </c>
      <c r="P1921" s="1" t="s">
        <v>37</v>
      </c>
      <c r="Q1921" s="1" t="s">
        <v>16</v>
      </c>
      <c r="R1921" s="1" t="str">
        <f>IF(N1921="","",VLOOKUP(N1921,Prior_levels,2,TRUE))</f>
        <v>H</v>
      </c>
    </row>
    <row r="1922" spans="1:18" x14ac:dyDescent="0.2">
      <c r="A1922" s="1" t="s">
        <v>214</v>
      </c>
      <c r="B1922" s="1" t="s">
        <v>10</v>
      </c>
      <c r="C1922" s="2">
        <v>41155</v>
      </c>
      <c r="D1922" s="1">
        <v>10</v>
      </c>
      <c r="E1922" s="1" t="s">
        <v>52</v>
      </c>
      <c r="F1922" s="1" t="s">
        <v>28</v>
      </c>
      <c r="H1922" s="1" t="s">
        <v>48</v>
      </c>
      <c r="I1922" s="1" t="s">
        <v>12</v>
      </c>
      <c r="J1922" s="1" t="s">
        <v>215</v>
      </c>
      <c r="K1922" s="1" t="s">
        <v>169</v>
      </c>
      <c r="L1922" s="1" t="s">
        <v>12</v>
      </c>
      <c r="M1922" s="1" t="s">
        <v>12</v>
      </c>
      <c r="N1922" s="1">
        <v>39.18</v>
      </c>
      <c r="O1922" s="1" t="s">
        <v>31</v>
      </c>
      <c r="P1922" s="1" t="s">
        <v>37</v>
      </c>
      <c r="Q1922" s="1" t="s">
        <v>16</v>
      </c>
      <c r="R1922" s="1" t="str">
        <f>IF(N1922="","",VLOOKUP(N1922,Prior_levels,2,TRUE))</f>
        <v>H</v>
      </c>
    </row>
    <row r="1923" spans="1:18" x14ac:dyDescent="0.2">
      <c r="A1923" s="1" t="s">
        <v>216</v>
      </c>
      <c r="B1923" s="1" t="s">
        <v>10</v>
      </c>
      <c r="C1923" s="2">
        <v>41155</v>
      </c>
      <c r="D1923" s="1">
        <v>10</v>
      </c>
      <c r="E1923" s="1" t="s">
        <v>52</v>
      </c>
      <c r="H1923" s="1" t="s">
        <v>54</v>
      </c>
      <c r="I1923" s="1" t="s">
        <v>12</v>
      </c>
      <c r="J1923" s="1" t="s">
        <v>43</v>
      </c>
      <c r="K1923" s="1" t="s">
        <v>199</v>
      </c>
      <c r="L1923" s="1" t="s">
        <v>12</v>
      </c>
      <c r="M1923" s="1" t="s">
        <v>12</v>
      </c>
      <c r="N1923" s="1">
        <v>33.18</v>
      </c>
      <c r="O1923" s="1" t="s">
        <v>15</v>
      </c>
      <c r="P1923" s="1">
        <v>6.2</v>
      </c>
      <c r="Q1923" s="1" t="s">
        <v>16</v>
      </c>
      <c r="R1923" s="1" t="str">
        <f>IF(N1923="","",VLOOKUP(N1923,Prior_levels,2,TRUE))</f>
        <v>H</v>
      </c>
    </row>
    <row r="1924" spans="1:18" x14ac:dyDescent="0.2">
      <c r="A1924" s="1" t="s">
        <v>216</v>
      </c>
      <c r="B1924" s="1" t="s">
        <v>10</v>
      </c>
      <c r="C1924" s="2">
        <v>41155</v>
      </c>
      <c r="D1924" s="1">
        <v>10</v>
      </c>
      <c r="E1924" s="1" t="s">
        <v>52</v>
      </c>
      <c r="H1924" s="1" t="s">
        <v>54</v>
      </c>
      <c r="I1924" s="1" t="s">
        <v>12</v>
      </c>
      <c r="J1924" s="1" t="s">
        <v>43</v>
      </c>
      <c r="K1924" s="1" t="s">
        <v>199</v>
      </c>
      <c r="L1924" s="1" t="s">
        <v>12</v>
      </c>
      <c r="M1924" s="1" t="s">
        <v>12</v>
      </c>
      <c r="N1924" s="1">
        <v>33.18</v>
      </c>
      <c r="O1924" s="1" t="s">
        <v>17</v>
      </c>
      <c r="P1924" s="1">
        <v>-0.35</v>
      </c>
      <c r="Q1924" s="1" t="s">
        <v>16</v>
      </c>
      <c r="R1924" s="1" t="str">
        <f>IF(N1924="","",VLOOKUP(N1924,Prior_levels,2,TRUE))</f>
        <v>H</v>
      </c>
    </row>
    <row r="1925" spans="1:18" x14ac:dyDescent="0.2">
      <c r="A1925" s="1" t="s">
        <v>216</v>
      </c>
      <c r="B1925" s="1" t="s">
        <v>10</v>
      </c>
      <c r="C1925" s="2">
        <v>41155</v>
      </c>
      <c r="D1925" s="1">
        <v>10</v>
      </c>
      <c r="E1925" s="1" t="s">
        <v>52</v>
      </c>
      <c r="H1925" s="1" t="s">
        <v>54</v>
      </c>
      <c r="I1925" s="1" t="s">
        <v>12</v>
      </c>
      <c r="J1925" s="1" t="s">
        <v>43</v>
      </c>
      <c r="K1925" s="1" t="s">
        <v>199</v>
      </c>
      <c r="L1925" s="1" t="s">
        <v>12</v>
      </c>
      <c r="M1925" s="1" t="s">
        <v>12</v>
      </c>
      <c r="N1925" s="1">
        <v>33.18</v>
      </c>
      <c r="O1925" s="1" t="s">
        <v>18</v>
      </c>
      <c r="P1925" s="1">
        <v>14</v>
      </c>
      <c r="Q1925" s="1" t="s">
        <v>16</v>
      </c>
      <c r="R1925" s="1" t="str">
        <f>IF(N1925="","",VLOOKUP(N1925,Prior_levels,2,TRUE))</f>
        <v>H</v>
      </c>
    </row>
    <row r="1926" spans="1:18" x14ac:dyDescent="0.2">
      <c r="A1926" s="1" t="s">
        <v>216</v>
      </c>
      <c r="B1926" s="1" t="s">
        <v>10</v>
      </c>
      <c r="C1926" s="2">
        <v>41155</v>
      </c>
      <c r="D1926" s="1">
        <v>10</v>
      </c>
      <c r="E1926" s="1" t="s">
        <v>52</v>
      </c>
      <c r="H1926" s="1" t="s">
        <v>54</v>
      </c>
      <c r="I1926" s="1" t="s">
        <v>12</v>
      </c>
      <c r="J1926" s="1" t="s">
        <v>43</v>
      </c>
      <c r="K1926" s="1" t="s">
        <v>199</v>
      </c>
      <c r="L1926" s="1" t="s">
        <v>12</v>
      </c>
      <c r="M1926" s="1" t="s">
        <v>12</v>
      </c>
      <c r="N1926" s="1">
        <v>33.18</v>
      </c>
      <c r="O1926" s="1" t="s">
        <v>19</v>
      </c>
      <c r="P1926" s="1">
        <v>12</v>
      </c>
      <c r="Q1926" s="1" t="s">
        <v>16</v>
      </c>
      <c r="R1926" s="1" t="str">
        <f>IF(N1926="","",VLOOKUP(N1926,Prior_levels,2,TRUE))</f>
        <v>H</v>
      </c>
    </row>
    <row r="1927" spans="1:18" x14ac:dyDescent="0.2">
      <c r="A1927" s="1" t="s">
        <v>216</v>
      </c>
      <c r="B1927" s="1" t="s">
        <v>10</v>
      </c>
      <c r="C1927" s="2">
        <v>41155</v>
      </c>
      <c r="D1927" s="1">
        <v>10</v>
      </c>
      <c r="E1927" s="1" t="s">
        <v>52</v>
      </c>
      <c r="H1927" s="1" t="s">
        <v>54</v>
      </c>
      <c r="I1927" s="1" t="s">
        <v>12</v>
      </c>
      <c r="J1927" s="1" t="s">
        <v>43</v>
      </c>
      <c r="K1927" s="1" t="s">
        <v>199</v>
      </c>
      <c r="L1927" s="1" t="s">
        <v>12</v>
      </c>
      <c r="M1927" s="1" t="s">
        <v>12</v>
      </c>
      <c r="N1927" s="1">
        <v>33.18</v>
      </c>
      <c r="O1927" s="1" t="s">
        <v>20</v>
      </c>
      <c r="P1927" s="1">
        <v>18</v>
      </c>
      <c r="Q1927" s="1" t="s">
        <v>16</v>
      </c>
      <c r="R1927" s="1" t="str">
        <f>IF(N1927="","",VLOOKUP(N1927,Prior_levels,2,TRUE))</f>
        <v>H</v>
      </c>
    </row>
    <row r="1928" spans="1:18" x14ac:dyDescent="0.2">
      <c r="A1928" s="1" t="s">
        <v>216</v>
      </c>
      <c r="B1928" s="1" t="s">
        <v>10</v>
      </c>
      <c r="C1928" s="2">
        <v>41155</v>
      </c>
      <c r="D1928" s="1">
        <v>10</v>
      </c>
      <c r="E1928" s="1" t="s">
        <v>52</v>
      </c>
      <c r="H1928" s="1" t="s">
        <v>54</v>
      </c>
      <c r="I1928" s="1" t="s">
        <v>12</v>
      </c>
      <c r="J1928" s="1" t="s">
        <v>43</v>
      </c>
      <c r="K1928" s="1" t="s">
        <v>199</v>
      </c>
      <c r="L1928" s="1" t="s">
        <v>12</v>
      </c>
      <c r="M1928" s="1" t="s">
        <v>12</v>
      </c>
      <c r="N1928" s="1">
        <v>33.18</v>
      </c>
      <c r="O1928" s="1" t="s">
        <v>21</v>
      </c>
      <c r="P1928" s="1">
        <v>18</v>
      </c>
      <c r="Q1928" s="1" t="s">
        <v>16</v>
      </c>
      <c r="R1928" s="1" t="str">
        <f>IF(N1928="","",VLOOKUP(N1928,Prior_levels,2,TRUE))</f>
        <v>H</v>
      </c>
    </row>
    <row r="1929" spans="1:18" x14ac:dyDescent="0.2">
      <c r="A1929" s="1" t="s">
        <v>216</v>
      </c>
      <c r="B1929" s="1" t="s">
        <v>10</v>
      </c>
      <c r="C1929" s="2">
        <v>41155</v>
      </c>
      <c r="D1929" s="1">
        <v>10</v>
      </c>
      <c r="E1929" s="1" t="s">
        <v>52</v>
      </c>
      <c r="H1929" s="1" t="s">
        <v>54</v>
      </c>
      <c r="I1929" s="1" t="s">
        <v>12</v>
      </c>
      <c r="J1929" s="1" t="s">
        <v>43</v>
      </c>
      <c r="K1929" s="1" t="s">
        <v>199</v>
      </c>
      <c r="L1929" s="1" t="s">
        <v>12</v>
      </c>
      <c r="M1929" s="1" t="s">
        <v>12</v>
      </c>
      <c r="N1929" s="1">
        <v>33.18</v>
      </c>
      <c r="O1929" s="1" t="s">
        <v>22</v>
      </c>
      <c r="P1929" s="1">
        <v>0.36</v>
      </c>
      <c r="Q1929" s="1" t="s">
        <v>16</v>
      </c>
      <c r="R1929" s="1" t="str">
        <f>IF(N1929="","",VLOOKUP(N1929,Prior_levels,2,TRUE))</f>
        <v>H</v>
      </c>
    </row>
    <row r="1930" spans="1:18" x14ac:dyDescent="0.2">
      <c r="A1930" s="1" t="s">
        <v>216</v>
      </c>
      <c r="B1930" s="1" t="s">
        <v>10</v>
      </c>
      <c r="C1930" s="2">
        <v>41155</v>
      </c>
      <c r="D1930" s="1">
        <v>10</v>
      </c>
      <c r="E1930" s="1" t="s">
        <v>52</v>
      </c>
      <c r="H1930" s="1" t="s">
        <v>54</v>
      </c>
      <c r="I1930" s="1" t="s">
        <v>12</v>
      </c>
      <c r="J1930" s="1" t="s">
        <v>43</v>
      </c>
      <c r="K1930" s="1" t="s">
        <v>199</v>
      </c>
      <c r="L1930" s="1" t="s">
        <v>12</v>
      </c>
      <c r="M1930" s="1" t="s">
        <v>12</v>
      </c>
      <c r="N1930" s="1">
        <v>33.18</v>
      </c>
      <c r="O1930" s="1" t="s">
        <v>23</v>
      </c>
      <c r="P1930" s="1">
        <v>-0.66</v>
      </c>
      <c r="Q1930" s="1" t="s">
        <v>16</v>
      </c>
      <c r="R1930" s="1" t="str">
        <f>IF(N1930="","",VLOOKUP(N1930,Prior_levels,2,TRUE))</f>
        <v>H</v>
      </c>
    </row>
    <row r="1931" spans="1:18" x14ac:dyDescent="0.2">
      <c r="A1931" s="1" t="s">
        <v>216</v>
      </c>
      <c r="B1931" s="1" t="s">
        <v>10</v>
      </c>
      <c r="C1931" s="2">
        <v>41155</v>
      </c>
      <c r="D1931" s="1">
        <v>10</v>
      </c>
      <c r="E1931" s="1" t="s">
        <v>52</v>
      </c>
      <c r="H1931" s="1" t="s">
        <v>54</v>
      </c>
      <c r="I1931" s="1" t="s">
        <v>12</v>
      </c>
      <c r="J1931" s="1" t="s">
        <v>43</v>
      </c>
      <c r="K1931" s="1" t="s">
        <v>199</v>
      </c>
      <c r="L1931" s="1" t="s">
        <v>12</v>
      </c>
      <c r="M1931" s="1" t="s">
        <v>12</v>
      </c>
      <c r="N1931" s="1">
        <v>33.18</v>
      </c>
      <c r="O1931" s="1" t="s">
        <v>25</v>
      </c>
      <c r="P1931" s="1">
        <v>-1.62</v>
      </c>
      <c r="Q1931" s="1" t="s">
        <v>16</v>
      </c>
      <c r="R1931" s="1" t="str">
        <f>IF(N1931="","",VLOOKUP(N1931,Prior_levels,2,TRUE))</f>
        <v>H</v>
      </c>
    </row>
    <row r="1932" spans="1:18" x14ac:dyDescent="0.2">
      <c r="A1932" s="1" t="s">
        <v>216</v>
      </c>
      <c r="B1932" s="1" t="s">
        <v>10</v>
      </c>
      <c r="C1932" s="2">
        <v>41155</v>
      </c>
      <c r="D1932" s="1">
        <v>10</v>
      </c>
      <c r="E1932" s="1" t="s">
        <v>52</v>
      </c>
      <c r="H1932" s="1" t="s">
        <v>54</v>
      </c>
      <c r="I1932" s="1" t="s">
        <v>12</v>
      </c>
      <c r="J1932" s="1" t="s">
        <v>43</v>
      </c>
      <c r="K1932" s="1" t="s">
        <v>199</v>
      </c>
      <c r="L1932" s="1" t="s">
        <v>12</v>
      </c>
      <c r="M1932" s="1" t="s">
        <v>12</v>
      </c>
      <c r="N1932" s="1">
        <v>33.18</v>
      </c>
      <c r="O1932" s="1" t="s">
        <v>26</v>
      </c>
      <c r="P1932" s="1">
        <v>8</v>
      </c>
      <c r="Q1932" s="1" t="s">
        <v>16</v>
      </c>
      <c r="R1932" s="1" t="str">
        <f>IF(N1932="","",VLOOKUP(N1932,Prior_levels,2,TRUE))</f>
        <v>H</v>
      </c>
    </row>
    <row r="1933" spans="1:18" x14ac:dyDescent="0.2">
      <c r="A1933" s="1" t="s">
        <v>216</v>
      </c>
      <c r="B1933" s="1" t="s">
        <v>10</v>
      </c>
      <c r="C1933" s="2">
        <v>41155</v>
      </c>
      <c r="D1933" s="1">
        <v>10</v>
      </c>
      <c r="E1933" s="1" t="s">
        <v>52</v>
      </c>
      <c r="H1933" s="1" t="s">
        <v>54</v>
      </c>
      <c r="I1933" s="1" t="s">
        <v>12</v>
      </c>
      <c r="J1933" s="1" t="s">
        <v>43</v>
      </c>
      <c r="K1933" s="1" t="s">
        <v>199</v>
      </c>
      <c r="L1933" s="1" t="s">
        <v>12</v>
      </c>
      <c r="M1933" s="1" t="s">
        <v>12</v>
      </c>
      <c r="N1933" s="1">
        <v>33.18</v>
      </c>
      <c r="O1933" s="1" t="s">
        <v>24</v>
      </c>
      <c r="P1933" s="1">
        <v>-1.27</v>
      </c>
      <c r="Q1933" s="1" t="s">
        <v>16</v>
      </c>
      <c r="R1933" s="1" t="str">
        <f>IF(N1933="","",VLOOKUP(N1933,Prior_levels,2,TRUE))</f>
        <v>H</v>
      </c>
    </row>
    <row r="1934" spans="1:18" x14ac:dyDescent="0.2">
      <c r="A1934" s="1" t="s">
        <v>216</v>
      </c>
      <c r="B1934" s="1" t="s">
        <v>10</v>
      </c>
      <c r="C1934" s="2">
        <v>41155</v>
      </c>
      <c r="D1934" s="1">
        <v>10</v>
      </c>
      <c r="E1934" s="1" t="s">
        <v>52</v>
      </c>
      <c r="H1934" s="1" t="s">
        <v>54</v>
      </c>
      <c r="I1934" s="1" t="s">
        <v>12</v>
      </c>
      <c r="J1934" s="1" t="s">
        <v>43</v>
      </c>
      <c r="K1934" s="1" t="s">
        <v>199</v>
      </c>
      <c r="L1934" s="1" t="s">
        <v>12</v>
      </c>
      <c r="M1934" s="1" t="s">
        <v>12</v>
      </c>
      <c r="N1934" s="1">
        <v>33.18</v>
      </c>
      <c r="O1934" s="1" t="s">
        <v>32</v>
      </c>
      <c r="P1934" s="1" t="s">
        <v>37</v>
      </c>
      <c r="Q1934" s="1" t="s">
        <v>16</v>
      </c>
      <c r="R1934" s="1" t="str">
        <f>IF(N1934="","",VLOOKUP(N1934,Prior_levels,2,TRUE))</f>
        <v>H</v>
      </c>
    </row>
    <row r="1935" spans="1:18" x14ac:dyDescent="0.2">
      <c r="A1935" s="1" t="s">
        <v>216</v>
      </c>
      <c r="B1935" s="1" t="s">
        <v>10</v>
      </c>
      <c r="C1935" s="2">
        <v>41155</v>
      </c>
      <c r="D1935" s="1">
        <v>10</v>
      </c>
      <c r="E1935" s="1" t="s">
        <v>52</v>
      </c>
      <c r="H1935" s="1" t="s">
        <v>54</v>
      </c>
      <c r="I1935" s="1" t="s">
        <v>12</v>
      </c>
      <c r="J1935" s="1" t="s">
        <v>43</v>
      </c>
      <c r="K1935" s="1" t="s">
        <v>199</v>
      </c>
      <c r="L1935" s="1" t="s">
        <v>12</v>
      </c>
      <c r="M1935" s="1" t="s">
        <v>12</v>
      </c>
      <c r="N1935" s="1">
        <v>33.18</v>
      </c>
      <c r="O1935" s="1" t="s">
        <v>27</v>
      </c>
      <c r="P1935" s="1" t="s">
        <v>37</v>
      </c>
      <c r="Q1935" s="1" t="s">
        <v>16</v>
      </c>
      <c r="R1935" s="1" t="str">
        <f>IF(N1935="","",VLOOKUP(N1935,Prior_levels,2,TRUE))</f>
        <v>H</v>
      </c>
    </row>
    <row r="1936" spans="1:18" x14ac:dyDescent="0.2">
      <c r="A1936" s="1" t="s">
        <v>216</v>
      </c>
      <c r="B1936" s="1" t="s">
        <v>10</v>
      </c>
      <c r="C1936" s="2">
        <v>41155</v>
      </c>
      <c r="D1936" s="1">
        <v>10</v>
      </c>
      <c r="E1936" s="1" t="s">
        <v>52</v>
      </c>
      <c r="H1936" s="1" t="s">
        <v>54</v>
      </c>
      <c r="I1936" s="1" t="s">
        <v>12</v>
      </c>
      <c r="J1936" s="1" t="s">
        <v>43</v>
      </c>
      <c r="K1936" s="1" t="s">
        <v>199</v>
      </c>
      <c r="L1936" s="1" t="s">
        <v>12</v>
      </c>
      <c r="M1936" s="1" t="s">
        <v>12</v>
      </c>
      <c r="N1936" s="1">
        <v>33.18</v>
      </c>
      <c r="O1936" s="1" t="s">
        <v>29</v>
      </c>
      <c r="P1936" s="1" t="s">
        <v>37</v>
      </c>
      <c r="Q1936" s="1" t="s">
        <v>16</v>
      </c>
      <c r="R1936" s="1" t="str">
        <f>IF(N1936="","",VLOOKUP(N1936,Prior_levels,2,TRUE))</f>
        <v>H</v>
      </c>
    </row>
    <row r="1937" spans="1:18" x14ac:dyDescent="0.2">
      <c r="A1937" s="1" t="s">
        <v>216</v>
      </c>
      <c r="B1937" s="1" t="s">
        <v>10</v>
      </c>
      <c r="C1937" s="2">
        <v>41155</v>
      </c>
      <c r="D1937" s="1">
        <v>10</v>
      </c>
      <c r="E1937" s="1" t="s">
        <v>52</v>
      </c>
      <c r="H1937" s="1" t="s">
        <v>54</v>
      </c>
      <c r="I1937" s="1" t="s">
        <v>12</v>
      </c>
      <c r="J1937" s="1" t="s">
        <v>43</v>
      </c>
      <c r="K1937" s="1" t="s">
        <v>199</v>
      </c>
      <c r="L1937" s="1" t="s">
        <v>12</v>
      </c>
      <c r="M1937" s="1" t="s">
        <v>12</v>
      </c>
      <c r="N1937" s="1">
        <v>33.18</v>
      </c>
      <c r="O1937" s="1" t="s">
        <v>30</v>
      </c>
      <c r="P1937" s="1" t="s">
        <v>37</v>
      </c>
      <c r="Q1937" s="1" t="s">
        <v>16</v>
      </c>
      <c r="R1937" s="1" t="str">
        <f>IF(N1937="","",VLOOKUP(N1937,Prior_levels,2,TRUE))</f>
        <v>H</v>
      </c>
    </row>
    <row r="1938" spans="1:18" x14ac:dyDescent="0.2">
      <c r="A1938" s="1" t="s">
        <v>216</v>
      </c>
      <c r="B1938" s="1" t="s">
        <v>10</v>
      </c>
      <c r="C1938" s="2">
        <v>41155</v>
      </c>
      <c r="D1938" s="1">
        <v>10</v>
      </c>
      <c r="E1938" s="1" t="s">
        <v>52</v>
      </c>
      <c r="H1938" s="1" t="s">
        <v>54</v>
      </c>
      <c r="I1938" s="1" t="s">
        <v>12</v>
      </c>
      <c r="J1938" s="1" t="s">
        <v>43</v>
      </c>
      <c r="K1938" s="1" t="s">
        <v>199</v>
      </c>
      <c r="L1938" s="1" t="s">
        <v>12</v>
      </c>
      <c r="M1938" s="1" t="s">
        <v>12</v>
      </c>
      <c r="N1938" s="1">
        <v>33.18</v>
      </c>
      <c r="O1938" s="1" t="s">
        <v>31</v>
      </c>
      <c r="P1938" s="1" t="s">
        <v>28</v>
      </c>
      <c r="Q1938" s="1" t="s">
        <v>16</v>
      </c>
      <c r="R1938" s="1" t="str">
        <f>IF(N1938="","",VLOOKUP(N1938,Prior_levels,2,TRUE))</f>
        <v>H</v>
      </c>
    </row>
    <row r="1939" spans="1:18" x14ac:dyDescent="0.2">
      <c r="A1939" s="1" t="s">
        <v>217</v>
      </c>
      <c r="B1939" s="1" t="s">
        <v>10</v>
      </c>
      <c r="C1939" s="2">
        <v>41155</v>
      </c>
      <c r="D1939" s="1">
        <v>10</v>
      </c>
      <c r="E1939" s="1" t="s">
        <v>34</v>
      </c>
      <c r="F1939" s="1" t="s">
        <v>100</v>
      </c>
      <c r="H1939" s="1" t="s">
        <v>48</v>
      </c>
      <c r="I1939" s="1" t="s">
        <v>12</v>
      </c>
      <c r="J1939" s="1" t="s">
        <v>136</v>
      </c>
      <c r="K1939" s="1" t="s">
        <v>137</v>
      </c>
      <c r="L1939" s="1" t="s">
        <v>12</v>
      </c>
      <c r="M1939" s="1" t="s">
        <v>12</v>
      </c>
      <c r="N1939" s="1">
        <v>15.06</v>
      </c>
      <c r="O1939" s="1" t="s">
        <v>15</v>
      </c>
      <c r="P1939" s="1">
        <v>2.5</v>
      </c>
      <c r="Q1939" s="1" t="s">
        <v>16</v>
      </c>
      <c r="R1939" s="1" t="str">
        <f>IF(N1939="","",VLOOKUP(N1939,Prior_levels,2,TRUE))</f>
        <v>L</v>
      </c>
    </row>
    <row r="1940" spans="1:18" x14ac:dyDescent="0.2">
      <c r="A1940" s="1" t="s">
        <v>217</v>
      </c>
      <c r="B1940" s="1" t="s">
        <v>10</v>
      </c>
      <c r="C1940" s="2">
        <v>41155</v>
      </c>
      <c r="D1940" s="1">
        <v>10</v>
      </c>
      <c r="E1940" s="1" t="s">
        <v>34</v>
      </c>
      <c r="F1940" s="1" t="s">
        <v>100</v>
      </c>
      <c r="H1940" s="1" t="s">
        <v>48</v>
      </c>
      <c r="I1940" s="1" t="s">
        <v>12</v>
      </c>
      <c r="J1940" s="1" t="s">
        <v>136</v>
      </c>
      <c r="K1940" s="1" t="s">
        <v>137</v>
      </c>
      <c r="L1940" s="1" t="s">
        <v>12</v>
      </c>
      <c r="M1940" s="1" t="s">
        <v>12</v>
      </c>
      <c r="N1940" s="1">
        <v>15.06</v>
      </c>
      <c r="O1940" s="1" t="s">
        <v>17</v>
      </c>
      <c r="P1940" s="1">
        <v>0.59</v>
      </c>
      <c r="Q1940" s="1" t="s">
        <v>16</v>
      </c>
      <c r="R1940" s="1" t="str">
        <f>IF(N1940="","",VLOOKUP(N1940,Prior_levels,2,TRUE))</f>
        <v>L</v>
      </c>
    </row>
    <row r="1941" spans="1:18" x14ac:dyDescent="0.2">
      <c r="A1941" s="1" t="s">
        <v>217</v>
      </c>
      <c r="B1941" s="1" t="s">
        <v>10</v>
      </c>
      <c r="C1941" s="2">
        <v>41155</v>
      </c>
      <c r="D1941" s="1">
        <v>10</v>
      </c>
      <c r="E1941" s="1" t="s">
        <v>34</v>
      </c>
      <c r="F1941" s="1" t="s">
        <v>100</v>
      </c>
      <c r="H1941" s="1" t="s">
        <v>48</v>
      </c>
      <c r="I1941" s="1" t="s">
        <v>12</v>
      </c>
      <c r="J1941" s="1" t="s">
        <v>136</v>
      </c>
      <c r="K1941" s="1" t="s">
        <v>137</v>
      </c>
      <c r="L1941" s="1" t="s">
        <v>12</v>
      </c>
      <c r="M1941" s="1" t="s">
        <v>12</v>
      </c>
      <c r="N1941" s="1">
        <v>15.06</v>
      </c>
      <c r="O1941" s="1" t="s">
        <v>18</v>
      </c>
      <c r="P1941" s="1">
        <v>6</v>
      </c>
      <c r="Q1941" s="1" t="s">
        <v>16</v>
      </c>
      <c r="R1941" s="1" t="str">
        <f>IF(N1941="","",VLOOKUP(N1941,Prior_levels,2,TRUE))</f>
        <v>L</v>
      </c>
    </row>
    <row r="1942" spans="1:18" x14ac:dyDescent="0.2">
      <c r="A1942" s="1" t="s">
        <v>217</v>
      </c>
      <c r="B1942" s="1" t="s">
        <v>10</v>
      </c>
      <c r="C1942" s="2">
        <v>41155</v>
      </c>
      <c r="D1942" s="1">
        <v>10</v>
      </c>
      <c r="E1942" s="1" t="s">
        <v>34</v>
      </c>
      <c r="F1942" s="1" t="s">
        <v>100</v>
      </c>
      <c r="H1942" s="1" t="s">
        <v>48</v>
      </c>
      <c r="I1942" s="1" t="s">
        <v>12</v>
      </c>
      <c r="J1942" s="1" t="s">
        <v>136</v>
      </c>
      <c r="K1942" s="1" t="s">
        <v>137</v>
      </c>
      <c r="L1942" s="1" t="s">
        <v>12</v>
      </c>
      <c r="M1942" s="1" t="s">
        <v>12</v>
      </c>
      <c r="N1942" s="1">
        <v>15.06</v>
      </c>
      <c r="O1942" s="1" t="s">
        <v>19</v>
      </c>
      <c r="P1942" s="1">
        <v>6</v>
      </c>
      <c r="Q1942" s="1" t="s">
        <v>16</v>
      </c>
      <c r="R1942" s="1" t="str">
        <f>IF(N1942="","",VLOOKUP(N1942,Prior_levels,2,TRUE))</f>
        <v>L</v>
      </c>
    </row>
    <row r="1943" spans="1:18" x14ac:dyDescent="0.2">
      <c r="A1943" s="1" t="s">
        <v>217</v>
      </c>
      <c r="B1943" s="1" t="s">
        <v>10</v>
      </c>
      <c r="C1943" s="2">
        <v>41155</v>
      </c>
      <c r="D1943" s="1">
        <v>10</v>
      </c>
      <c r="E1943" s="1" t="s">
        <v>34</v>
      </c>
      <c r="F1943" s="1" t="s">
        <v>100</v>
      </c>
      <c r="H1943" s="1" t="s">
        <v>48</v>
      </c>
      <c r="I1943" s="1" t="s">
        <v>12</v>
      </c>
      <c r="J1943" s="1" t="s">
        <v>136</v>
      </c>
      <c r="K1943" s="1" t="s">
        <v>137</v>
      </c>
      <c r="L1943" s="1" t="s">
        <v>12</v>
      </c>
      <c r="M1943" s="1" t="s">
        <v>12</v>
      </c>
      <c r="N1943" s="1">
        <v>15.06</v>
      </c>
      <c r="O1943" s="1" t="s">
        <v>20</v>
      </c>
      <c r="P1943" s="1">
        <v>6</v>
      </c>
      <c r="Q1943" s="1" t="s">
        <v>16</v>
      </c>
      <c r="R1943" s="1" t="str">
        <f>IF(N1943="","",VLOOKUP(N1943,Prior_levels,2,TRUE))</f>
        <v>L</v>
      </c>
    </row>
    <row r="1944" spans="1:18" x14ac:dyDescent="0.2">
      <c r="A1944" s="1" t="s">
        <v>217</v>
      </c>
      <c r="B1944" s="1" t="s">
        <v>10</v>
      </c>
      <c r="C1944" s="2">
        <v>41155</v>
      </c>
      <c r="D1944" s="1">
        <v>10</v>
      </c>
      <c r="E1944" s="1" t="s">
        <v>34</v>
      </c>
      <c r="F1944" s="1" t="s">
        <v>100</v>
      </c>
      <c r="H1944" s="1" t="s">
        <v>48</v>
      </c>
      <c r="I1944" s="1" t="s">
        <v>12</v>
      </c>
      <c r="J1944" s="1" t="s">
        <v>136</v>
      </c>
      <c r="K1944" s="1" t="s">
        <v>137</v>
      </c>
      <c r="L1944" s="1" t="s">
        <v>12</v>
      </c>
      <c r="M1944" s="1" t="s">
        <v>12</v>
      </c>
      <c r="N1944" s="1">
        <v>15.06</v>
      </c>
      <c r="O1944" s="1" t="s">
        <v>21</v>
      </c>
      <c r="P1944" s="1">
        <v>7</v>
      </c>
      <c r="Q1944" s="1" t="s">
        <v>16</v>
      </c>
      <c r="R1944" s="1" t="str">
        <f>IF(N1944="","",VLOOKUP(N1944,Prior_levels,2,TRUE))</f>
        <v>L</v>
      </c>
    </row>
    <row r="1945" spans="1:18" x14ac:dyDescent="0.2">
      <c r="A1945" s="1" t="s">
        <v>217</v>
      </c>
      <c r="B1945" s="1" t="s">
        <v>10</v>
      </c>
      <c r="C1945" s="2">
        <v>41155</v>
      </c>
      <c r="D1945" s="1">
        <v>10</v>
      </c>
      <c r="E1945" s="1" t="s">
        <v>34</v>
      </c>
      <c r="F1945" s="1" t="s">
        <v>100</v>
      </c>
      <c r="H1945" s="1" t="s">
        <v>48</v>
      </c>
      <c r="I1945" s="1" t="s">
        <v>12</v>
      </c>
      <c r="J1945" s="1" t="s">
        <v>136</v>
      </c>
      <c r="K1945" s="1" t="s">
        <v>137</v>
      </c>
      <c r="L1945" s="1" t="s">
        <v>12</v>
      </c>
      <c r="M1945" s="1" t="s">
        <v>12</v>
      </c>
      <c r="N1945" s="1">
        <v>15.06</v>
      </c>
      <c r="O1945" s="1" t="s">
        <v>22</v>
      </c>
      <c r="P1945" s="1">
        <v>0.34</v>
      </c>
      <c r="Q1945" s="1" t="s">
        <v>16</v>
      </c>
      <c r="R1945" s="1" t="str">
        <f>IF(N1945="","",VLOOKUP(N1945,Prior_levels,2,TRUE))</f>
        <v>L</v>
      </c>
    </row>
    <row r="1946" spans="1:18" x14ac:dyDescent="0.2">
      <c r="A1946" s="1" t="s">
        <v>217</v>
      </c>
      <c r="B1946" s="1" t="s">
        <v>10</v>
      </c>
      <c r="C1946" s="2">
        <v>41155</v>
      </c>
      <c r="D1946" s="1">
        <v>10</v>
      </c>
      <c r="E1946" s="1" t="s">
        <v>34</v>
      </c>
      <c r="F1946" s="1" t="s">
        <v>100</v>
      </c>
      <c r="H1946" s="1" t="s">
        <v>48</v>
      </c>
      <c r="I1946" s="1" t="s">
        <v>12</v>
      </c>
      <c r="J1946" s="1" t="s">
        <v>136</v>
      </c>
      <c r="K1946" s="1" t="s">
        <v>137</v>
      </c>
      <c r="L1946" s="1" t="s">
        <v>12</v>
      </c>
      <c r="M1946" s="1" t="s">
        <v>12</v>
      </c>
      <c r="N1946" s="1">
        <v>15.06</v>
      </c>
      <c r="O1946" s="1" t="s">
        <v>23</v>
      </c>
      <c r="P1946" s="1">
        <v>1.68</v>
      </c>
      <c r="Q1946" s="1" t="s">
        <v>16</v>
      </c>
      <c r="R1946" s="1" t="str">
        <f>IF(N1946="","",VLOOKUP(N1946,Prior_levels,2,TRUE))</f>
        <v>L</v>
      </c>
    </row>
    <row r="1947" spans="1:18" x14ac:dyDescent="0.2">
      <c r="A1947" s="1" t="s">
        <v>217</v>
      </c>
      <c r="B1947" s="1" t="s">
        <v>10</v>
      </c>
      <c r="C1947" s="2">
        <v>41155</v>
      </c>
      <c r="D1947" s="1">
        <v>10</v>
      </c>
      <c r="E1947" s="1" t="s">
        <v>34</v>
      </c>
      <c r="F1947" s="1" t="s">
        <v>100</v>
      </c>
      <c r="H1947" s="1" t="s">
        <v>48</v>
      </c>
      <c r="I1947" s="1" t="s">
        <v>12</v>
      </c>
      <c r="J1947" s="1" t="s">
        <v>136</v>
      </c>
      <c r="K1947" s="1" t="s">
        <v>137</v>
      </c>
      <c r="L1947" s="1" t="s">
        <v>12</v>
      </c>
      <c r="M1947" s="1" t="s">
        <v>12</v>
      </c>
      <c r="N1947" s="1">
        <v>15.06</v>
      </c>
      <c r="O1947" s="1" t="s">
        <v>25</v>
      </c>
      <c r="P1947" s="1">
        <v>-1.63</v>
      </c>
      <c r="Q1947" s="1" t="s">
        <v>16</v>
      </c>
      <c r="R1947" s="1" t="str">
        <f>IF(N1947="","",VLOOKUP(N1947,Prior_levels,2,TRUE))</f>
        <v>L</v>
      </c>
    </row>
    <row r="1948" spans="1:18" x14ac:dyDescent="0.2">
      <c r="A1948" s="1" t="s">
        <v>217</v>
      </c>
      <c r="B1948" s="1" t="s">
        <v>10</v>
      </c>
      <c r="C1948" s="2">
        <v>41155</v>
      </c>
      <c r="D1948" s="1">
        <v>10</v>
      </c>
      <c r="E1948" s="1" t="s">
        <v>34</v>
      </c>
      <c r="F1948" s="1" t="s">
        <v>100</v>
      </c>
      <c r="H1948" s="1" t="s">
        <v>48</v>
      </c>
      <c r="I1948" s="1" t="s">
        <v>12</v>
      </c>
      <c r="J1948" s="1" t="s">
        <v>136</v>
      </c>
      <c r="K1948" s="1" t="s">
        <v>137</v>
      </c>
      <c r="L1948" s="1" t="s">
        <v>12</v>
      </c>
      <c r="M1948" s="1" t="s">
        <v>12</v>
      </c>
      <c r="N1948" s="1">
        <v>15.06</v>
      </c>
      <c r="O1948" s="1" t="s">
        <v>26</v>
      </c>
      <c r="P1948" s="1">
        <v>0</v>
      </c>
      <c r="Q1948" s="1" t="s">
        <v>16</v>
      </c>
      <c r="R1948" s="1" t="str">
        <f>IF(N1948="","",VLOOKUP(N1948,Prior_levels,2,TRUE))</f>
        <v>L</v>
      </c>
    </row>
    <row r="1949" spans="1:18" x14ac:dyDescent="0.2">
      <c r="A1949" s="1" t="s">
        <v>217</v>
      </c>
      <c r="B1949" s="1" t="s">
        <v>10</v>
      </c>
      <c r="C1949" s="2">
        <v>41155</v>
      </c>
      <c r="D1949" s="1">
        <v>10</v>
      </c>
      <c r="E1949" s="1" t="s">
        <v>34</v>
      </c>
      <c r="F1949" s="1" t="s">
        <v>100</v>
      </c>
      <c r="H1949" s="1" t="s">
        <v>48</v>
      </c>
      <c r="I1949" s="1" t="s">
        <v>12</v>
      </c>
      <c r="J1949" s="1" t="s">
        <v>136</v>
      </c>
      <c r="K1949" s="1" t="s">
        <v>137</v>
      </c>
      <c r="L1949" s="1" t="s">
        <v>12</v>
      </c>
      <c r="M1949" s="1" t="s">
        <v>12</v>
      </c>
      <c r="N1949" s="1">
        <v>15.06</v>
      </c>
      <c r="O1949" s="1" t="s">
        <v>24</v>
      </c>
      <c r="P1949" s="1">
        <v>3.44</v>
      </c>
      <c r="Q1949" s="1" t="s">
        <v>16</v>
      </c>
      <c r="R1949" s="1" t="str">
        <f>IF(N1949="","",VLOOKUP(N1949,Prior_levels,2,TRUE))</f>
        <v>L</v>
      </c>
    </row>
    <row r="1950" spans="1:18" x14ac:dyDescent="0.2">
      <c r="A1950" s="1" t="s">
        <v>217</v>
      </c>
      <c r="B1950" s="1" t="s">
        <v>10</v>
      </c>
      <c r="C1950" s="2">
        <v>41155</v>
      </c>
      <c r="D1950" s="1">
        <v>10</v>
      </c>
      <c r="E1950" s="1" t="s">
        <v>34</v>
      </c>
      <c r="F1950" s="1" t="s">
        <v>100</v>
      </c>
      <c r="H1950" s="1" t="s">
        <v>48</v>
      </c>
      <c r="I1950" s="1" t="s">
        <v>12</v>
      </c>
      <c r="J1950" s="1" t="s">
        <v>136</v>
      </c>
      <c r="K1950" s="1" t="s">
        <v>137</v>
      </c>
      <c r="L1950" s="1" t="s">
        <v>12</v>
      </c>
      <c r="M1950" s="1" t="s">
        <v>12</v>
      </c>
      <c r="N1950" s="1">
        <v>15.06</v>
      </c>
      <c r="O1950" s="1" t="s">
        <v>32</v>
      </c>
      <c r="P1950" s="1" t="s">
        <v>28</v>
      </c>
      <c r="Q1950" s="1" t="s">
        <v>16</v>
      </c>
      <c r="R1950" s="1" t="str">
        <f>IF(N1950="","",VLOOKUP(N1950,Prior_levels,2,TRUE))</f>
        <v>L</v>
      </c>
    </row>
    <row r="1951" spans="1:18" x14ac:dyDescent="0.2">
      <c r="A1951" s="1" t="s">
        <v>217</v>
      </c>
      <c r="B1951" s="1" t="s">
        <v>10</v>
      </c>
      <c r="C1951" s="2">
        <v>41155</v>
      </c>
      <c r="D1951" s="1">
        <v>10</v>
      </c>
      <c r="E1951" s="1" t="s">
        <v>34</v>
      </c>
      <c r="F1951" s="1" t="s">
        <v>100</v>
      </c>
      <c r="H1951" s="1" t="s">
        <v>48</v>
      </c>
      <c r="I1951" s="1" t="s">
        <v>12</v>
      </c>
      <c r="J1951" s="1" t="s">
        <v>136</v>
      </c>
      <c r="K1951" s="1" t="s">
        <v>137</v>
      </c>
      <c r="L1951" s="1" t="s">
        <v>12</v>
      </c>
      <c r="M1951" s="1" t="s">
        <v>12</v>
      </c>
      <c r="N1951" s="1">
        <v>15.06</v>
      </c>
      <c r="O1951" s="1" t="s">
        <v>27</v>
      </c>
      <c r="P1951" s="1" t="s">
        <v>28</v>
      </c>
      <c r="Q1951" s="1" t="s">
        <v>16</v>
      </c>
      <c r="R1951" s="1" t="str">
        <f>IF(N1951="","",VLOOKUP(N1951,Prior_levels,2,TRUE))</f>
        <v>L</v>
      </c>
    </row>
    <row r="1952" spans="1:18" x14ac:dyDescent="0.2">
      <c r="A1952" s="1" t="s">
        <v>217</v>
      </c>
      <c r="B1952" s="1" t="s">
        <v>10</v>
      </c>
      <c r="C1952" s="2">
        <v>41155</v>
      </c>
      <c r="D1952" s="1">
        <v>10</v>
      </c>
      <c r="E1952" s="1" t="s">
        <v>34</v>
      </c>
      <c r="F1952" s="1" t="s">
        <v>100</v>
      </c>
      <c r="H1952" s="1" t="s">
        <v>48</v>
      </c>
      <c r="I1952" s="1" t="s">
        <v>12</v>
      </c>
      <c r="J1952" s="1" t="s">
        <v>136</v>
      </c>
      <c r="K1952" s="1" t="s">
        <v>137</v>
      </c>
      <c r="L1952" s="1" t="s">
        <v>12</v>
      </c>
      <c r="M1952" s="1" t="s">
        <v>12</v>
      </c>
      <c r="N1952" s="1">
        <v>15.06</v>
      </c>
      <c r="O1952" s="1" t="s">
        <v>29</v>
      </c>
      <c r="P1952" s="1" t="s">
        <v>28</v>
      </c>
      <c r="Q1952" s="1" t="s">
        <v>16</v>
      </c>
      <c r="R1952" s="1" t="str">
        <f>IF(N1952="","",VLOOKUP(N1952,Prior_levels,2,TRUE))</f>
        <v>L</v>
      </c>
    </row>
    <row r="1953" spans="1:18" x14ac:dyDescent="0.2">
      <c r="A1953" s="1" t="s">
        <v>217</v>
      </c>
      <c r="B1953" s="1" t="s">
        <v>10</v>
      </c>
      <c r="C1953" s="2">
        <v>41155</v>
      </c>
      <c r="D1953" s="1">
        <v>10</v>
      </c>
      <c r="E1953" s="1" t="s">
        <v>34</v>
      </c>
      <c r="F1953" s="1" t="s">
        <v>100</v>
      </c>
      <c r="H1953" s="1" t="s">
        <v>48</v>
      </c>
      <c r="I1953" s="1" t="s">
        <v>12</v>
      </c>
      <c r="J1953" s="1" t="s">
        <v>136</v>
      </c>
      <c r="K1953" s="1" t="s">
        <v>137</v>
      </c>
      <c r="L1953" s="1" t="s">
        <v>12</v>
      </c>
      <c r="M1953" s="1" t="s">
        <v>12</v>
      </c>
      <c r="N1953" s="1">
        <v>15.06</v>
      </c>
      <c r="O1953" s="1" t="s">
        <v>30</v>
      </c>
      <c r="P1953" s="1" t="s">
        <v>28</v>
      </c>
      <c r="Q1953" s="1" t="s">
        <v>16</v>
      </c>
      <c r="R1953" s="1" t="str">
        <f>IF(N1953="","",VLOOKUP(N1953,Prior_levels,2,TRUE))</f>
        <v>L</v>
      </c>
    </row>
    <row r="1954" spans="1:18" x14ac:dyDescent="0.2">
      <c r="A1954" s="1" t="s">
        <v>217</v>
      </c>
      <c r="B1954" s="1" t="s">
        <v>10</v>
      </c>
      <c r="C1954" s="2">
        <v>41155</v>
      </c>
      <c r="D1954" s="1">
        <v>10</v>
      </c>
      <c r="E1954" s="1" t="s">
        <v>34</v>
      </c>
      <c r="F1954" s="1" t="s">
        <v>100</v>
      </c>
      <c r="H1954" s="1" t="s">
        <v>48</v>
      </c>
      <c r="I1954" s="1" t="s">
        <v>12</v>
      </c>
      <c r="J1954" s="1" t="s">
        <v>136</v>
      </c>
      <c r="K1954" s="1" t="s">
        <v>137</v>
      </c>
      <c r="L1954" s="1" t="s">
        <v>12</v>
      </c>
      <c r="M1954" s="1" t="s">
        <v>12</v>
      </c>
      <c r="N1954" s="1">
        <v>15.06</v>
      </c>
      <c r="O1954" s="1" t="s">
        <v>31</v>
      </c>
      <c r="P1954" s="1" t="s">
        <v>28</v>
      </c>
      <c r="Q1954" s="1" t="s">
        <v>16</v>
      </c>
      <c r="R1954" s="1" t="str">
        <f>IF(N1954="","",VLOOKUP(N1954,Prior_levels,2,TRUE))</f>
        <v>L</v>
      </c>
    </row>
    <row r="1955" spans="1:18" x14ac:dyDescent="0.2">
      <c r="A1955" s="1" t="s">
        <v>218</v>
      </c>
      <c r="B1955" s="1" t="s">
        <v>10</v>
      </c>
      <c r="C1955" s="2">
        <v>41155</v>
      </c>
      <c r="D1955" s="1">
        <v>10</v>
      </c>
      <c r="E1955" s="1" t="s">
        <v>47</v>
      </c>
      <c r="H1955" s="1" t="s">
        <v>54</v>
      </c>
      <c r="I1955" s="1" t="s">
        <v>12</v>
      </c>
      <c r="J1955" s="1" t="s">
        <v>219</v>
      </c>
      <c r="K1955" s="1" t="s">
        <v>14</v>
      </c>
      <c r="L1955" s="1" t="s">
        <v>12</v>
      </c>
      <c r="M1955" s="1" t="s">
        <v>12</v>
      </c>
      <c r="N1955" s="1">
        <v>12.06</v>
      </c>
      <c r="O1955" s="1" t="s">
        <v>15</v>
      </c>
      <c r="P1955" s="1">
        <v>2.2000000000000002</v>
      </c>
      <c r="Q1955" s="1" t="s">
        <v>16</v>
      </c>
      <c r="R1955" s="1" t="str">
        <f>IF(N1955="","",VLOOKUP(N1955,Prior_levels,2,TRUE))</f>
        <v>L</v>
      </c>
    </row>
    <row r="1956" spans="1:18" x14ac:dyDescent="0.2">
      <c r="A1956" s="1" t="s">
        <v>218</v>
      </c>
      <c r="B1956" s="1" t="s">
        <v>10</v>
      </c>
      <c r="C1956" s="2">
        <v>41155</v>
      </c>
      <c r="D1956" s="1">
        <v>10</v>
      </c>
      <c r="E1956" s="1" t="s">
        <v>47</v>
      </c>
      <c r="H1956" s="1" t="s">
        <v>54</v>
      </c>
      <c r="I1956" s="1" t="s">
        <v>12</v>
      </c>
      <c r="J1956" s="1" t="s">
        <v>219</v>
      </c>
      <c r="K1956" s="1" t="s">
        <v>14</v>
      </c>
      <c r="L1956" s="1" t="s">
        <v>12</v>
      </c>
      <c r="M1956" s="1" t="s">
        <v>12</v>
      </c>
      <c r="N1956" s="1">
        <v>12.06</v>
      </c>
      <c r="O1956" s="1" t="s">
        <v>17</v>
      </c>
      <c r="P1956" s="1">
        <v>0.44</v>
      </c>
      <c r="Q1956" s="1" t="s">
        <v>16</v>
      </c>
      <c r="R1956" s="1" t="str">
        <f>IF(N1956="","",VLOOKUP(N1956,Prior_levels,2,TRUE))</f>
        <v>L</v>
      </c>
    </row>
    <row r="1957" spans="1:18" x14ac:dyDescent="0.2">
      <c r="A1957" s="1" t="s">
        <v>218</v>
      </c>
      <c r="B1957" s="1" t="s">
        <v>10</v>
      </c>
      <c r="C1957" s="2">
        <v>41155</v>
      </c>
      <c r="D1957" s="1">
        <v>10</v>
      </c>
      <c r="E1957" s="1" t="s">
        <v>47</v>
      </c>
      <c r="H1957" s="1" t="s">
        <v>54</v>
      </c>
      <c r="I1957" s="1" t="s">
        <v>12</v>
      </c>
      <c r="J1957" s="1" t="s">
        <v>219</v>
      </c>
      <c r="K1957" s="1" t="s">
        <v>14</v>
      </c>
      <c r="L1957" s="1" t="s">
        <v>12</v>
      </c>
      <c r="M1957" s="1" t="s">
        <v>12</v>
      </c>
      <c r="N1957" s="1">
        <v>12.06</v>
      </c>
      <c r="O1957" s="1" t="s">
        <v>18</v>
      </c>
      <c r="P1957" s="1">
        <v>6</v>
      </c>
      <c r="Q1957" s="1" t="s">
        <v>16</v>
      </c>
      <c r="R1957" s="1" t="str">
        <f>IF(N1957="","",VLOOKUP(N1957,Prior_levels,2,TRUE))</f>
        <v>L</v>
      </c>
    </row>
    <row r="1958" spans="1:18" x14ac:dyDescent="0.2">
      <c r="A1958" s="1" t="s">
        <v>218</v>
      </c>
      <c r="B1958" s="1" t="s">
        <v>10</v>
      </c>
      <c r="C1958" s="2">
        <v>41155</v>
      </c>
      <c r="D1958" s="1">
        <v>10</v>
      </c>
      <c r="E1958" s="1" t="s">
        <v>47</v>
      </c>
      <c r="H1958" s="1" t="s">
        <v>54</v>
      </c>
      <c r="I1958" s="1" t="s">
        <v>12</v>
      </c>
      <c r="J1958" s="1" t="s">
        <v>219</v>
      </c>
      <c r="K1958" s="1" t="s">
        <v>14</v>
      </c>
      <c r="L1958" s="1" t="s">
        <v>12</v>
      </c>
      <c r="M1958" s="1" t="s">
        <v>12</v>
      </c>
      <c r="N1958" s="1">
        <v>12.06</v>
      </c>
      <c r="O1958" s="1" t="s">
        <v>19</v>
      </c>
      <c r="P1958" s="1">
        <v>4</v>
      </c>
      <c r="Q1958" s="1" t="s">
        <v>16</v>
      </c>
      <c r="R1958" s="1" t="str">
        <f>IF(N1958="","",VLOOKUP(N1958,Prior_levels,2,TRUE))</f>
        <v>L</v>
      </c>
    </row>
    <row r="1959" spans="1:18" x14ac:dyDescent="0.2">
      <c r="A1959" s="1" t="s">
        <v>218</v>
      </c>
      <c r="B1959" s="1" t="s">
        <v>10</v>
      </c>
      <c r="C1959" s="2">
        <v>41155</v>
      </c>
      <c r="D1959" s="1">
        <v>10</v>
      </c>
      <c r="E1959" s="1" t="s">
        <v>47</v>
      </c>
      <c r="H1959" s="1" t="s">
        <v>54</v>
      </c>
      <c r="I1959" s="1" t="s">
        <v>12</v>
      </c>
      <c r="J1959" s="1" t="s">
        <v>219</v>
      </c>
      <c r="K1959" s="1" t="s">
        <v>14</v>
      </c>
      <c r="L1959" s="1" t="s">
        <v>12</v>
      </c>
      <c r="M1959" s="1" t="s">
        <v>12</v>
      </c>
      <c r="N1959" s="1">
        <v>12.06</v>
      </c>
      <c r="O1959" s="1" t="s">
        <v>20</v>
      </c>
      <c r="P1959" s="1">
        <v>5.5</v>
      </c>
      <c r="Q1959" s="1" t="s">
        <v>16</v>
      </c>
      <c r="R1959" s="1" t="str">
        <f>IF(N1959="","",VLOOKUP(N1959,Prior_levels,2,TRUE))</f>
        <v>L</v>
      </c>
    </row>
    <row r="1960" spans="1:18" x14ac:dyDescent="0.2">
      <c r="A1960" s="1" t="s">
        <v>218</v>
      </c>
      <c r="B1960" s="1" t="s">
        <v>10</v>
      </c>
      <c r="C1960" s="2">
        <v>41155</v>
      </c>
      <c r="D1960" s="1">
        <v>10</v>
      </c>
      <c r="E1960" s="1" t="s">
        <v>47</v>
      </c>
      <c r="H1960" s="1" t="s">
        <v>54</v>
      </c>
      <c r="I1960" s="1" t="s">
        <v>12</v>
      </c>
      <c r="J1960" s="1" t="s">
        <v>219</v>
      </c>
      <c r="K1960" s="1" t="s">
        <v>14</v>
      </c>
      <c r="L1960" s="1" t="s">
        <v>12</v>
      </c>
      <c r="M1960" s="1" t="s">
        <v>12</v>
      </c>
      <c r="N1960" s="1">
        <v>12.06</v>
      </c>
      <c r="O1960" s="1" t="s">
        <v>21</v>
      </c>
      <c r="P1960" s="1">
        <v>6.5</v>
      </c>
      <c r="Q1960" s="1" t="s">
        <v>16</v>
      </c>
      <c r="R1960" s="1" t="str">
        <f>IF(N1960="","",VLOOKUP(N1960,Prior_levels,2,TRUE))</f>
        <v>L</v>
      </c>
    </row>
    <row r="1961" spans="1:18" x14ac:dyDescent="0.2">
      <c r="A1961" s="1" t="s">
        <v>218</v>
      </c>
      <c r="B1961" s="1" t="s">
        <v>10</v>
      </c>
      <c r="C1961" s="2">
        <v>41155</v>
      </c>
      <c r="D1961" s="1">
        <v>10</v>
      </c>
      <c r="E1961" s="1" t="s">
        <v>47</v>
      </c>
      <c r="H1961" s="1" t="s">
        <v>54</v>
      </c>
      <c r="I1961" s="1" t="s">
        <v>12</v>
      </c>
      <c r="J1961" s="1" t="s">
        <v>219</v>
      </c>
      <c r="K1961" s="1" t="s">
        <v>14</v>
      </c>
      <c r="L1961" s="1" t="s">
        <v>12</v>
      </c>
      <c r="M1961" s="1" t="s">
        <v>12</v>
      </c>
      <c r="N1961" s="1">
        <v>12.06</v>
      </c>
      <c r="O1961" s="1" t="s">
        <v>22</v>
      </c>
      <c r="P1961" s="1">
        <v>0.66</v>
      </c>
      <c r="Q1961" s="1" t="s">
        <v>16</v>
      </c>
      <c r="R1961" s="1" t="str">
        <f>IF(N1961="","",VLOOKUP(N1961,Prior_levels,2,TRUE))</f>
        <v>L</v>
      </c>
    </row>
    <row r="1962" spans="1:18" x14ac:dyDescent="0.2">
      <c r="A1962" s="1" t="s">
        <v>218</v>
      </c>
      <c r="B1962" s="1" t="s">
        <v>10</v>
      </c>
      <c r="C1962" s="2">
        <v>41155</v>
      </c>
      <c r="D1962" s="1">
        <v>10</v>
      </c>
      <c r="E1962" s="1" t="s">
        <v>47</v>
      </c>
      <c r="H1962" s="1" t="s">
        <v>54</v>
      </c>
      <c r="I1962" s="1" t="s">
        <v>12</v>
      </c>
      <c r="J1962" s="1" t="s">
        <v>219</v>
      </c>
      <c r="K1962" s="1" t="s">
        <v>14</v>
      </c>
      <c r="L1962" s="1" t="s">
        <v>12</v>
      </c>
      <c r="M1962" s="1" t="s">
        <v>12</v>
      </c>
      <c r="N1962" s="1">
        <v>12.06</v>
      </c>
      <c r="O1962" s="1" t="s">
        <v>23</v>
      </c>
      <c r="P1962" s="1">
        <v>0.76</v>
      </c>
      <c r="Q1962" s="1" t="s">
        <v>16</v>
      </c>
      <c r="R1962" s="1" t="str">
        <f>IF(N1962="","",VLOOKUP(N1962,Prior_levels,2,TRUE))</f>
        <v>L</v>
      </c>
    </row>
    <row r="1963" spans="1:18" x14ac:dyDescent="0.2">
      <c r="A1963" s="1" t="s">
        <v>218</v>
      </c>
      <c r="B1963" s="1" t="s">
        <v>10</v>
      </c>
      <c r="C1963" s="2">
        <v>41155</v>
      </c>
      <c r="D1963" s="1">
        <v>10</v>
      </c>
      <c r="E1963" s="1" t="s">
        <v>47</v>
      </c>
      <c r="H1963" s="1" t="s">
        <v>54</v>
      </c>
      <c r="I1963" s="1" t="s">
        <v>12</v>
      </c>
      <c r="J1963" s="1" t="s">
        <v>219</v>
      </c>
      <c r="K1963" s="1" t="s">
        <v>14</v>
      </c>
      <c r="L1963" s="1" t="s">
        <v>12</v>
      </c>
      <c r="M1963" s="1" t="s">
        <v>12</v>
      </c>
      <c r="N1963" s="1">
        <v>12.06</v>
      </c>
      <c r="O1963" s="1" t="s">
        <v>25</v>
      </c>
      <c r="P1963" s="1">
        <v>-1.48</v>
      </c>
      <c r="Q1963" s="1" t="s">
        <v>16</v>
      </c>
      <c r="R1963" s="1" t="str">
        <f>IF(N1963="","",VLOOKUP(N1963,Prior_levels,2,TRUE))</f>
        <v>L</v>
      </c>
    </row>
    <row r="1964" spans="1:18" x14ac:dyDescent="0.2">
      <c r="A1964" s="1" t="s">
        <v>218</v>
      </c>
      <c r="B1964" s="1" t="s">
        <v>10</v>
      </c>
      <c r="C1964" s="2">
        <v>41155</v>
      </c>
      <c r="D1964" s="1">
        <v>10</v>
      </c>
      <c r="E1964" s="1" t="s">
        <v>47</v>
      </c>
      <c r="H1964" s="1" t="s">
        <v>54</v>
      </c>
      <c r="I1964" s="1" t="s">
        <v>12</v>
      </c>
      <c r="J1964" s="1" t="s">
        <v>219</v>
      </c>
      <c r="K1964" s="1" t="s">
        <v>14</v>
      </c>
      <c r="L1964" s="1" t="s">
        <v>12</v>
      </c>
      <c r="M1964" s="1" t="s">
        <v>12</v>
      </c>
      <c r="N1964" s="1">
        <v>12.06</v>
      </c>
      <c r="O1964" s="1" t="s">
        <v>26</v>
      </c>
      <c r="P1964" s="1">
        <v>0</v>
      </c>
      <c r="Q1964" s="1" t="s">
        <v>16</v>
      </c>
      <c r="R1964" s="1" t="str">
        <f>IF(N1964="","",VLOOKUP(N1964,Prior_levels,2,TRUE))</f>
        <v>L</v>
      </c>
    </row>
    <row r="1965" spans="1:18" x14ac:dyDescent="0.2">
      <c r="A1965" s="1" t="s">
        <v>218</v>
      </c>
      <c r="B1965" s="1" t="s">
        <v>10</v>
      </c>
      <c r="C1965" s="2">
        <v>41155</v>
      </c>
      <c r="D1965" s="1">
        <v>10</v>
      </c>
      <c r="E1965" s="1" t="s">
        <v>47</v>
      </c>
      <c r="H1965" s="1" t="s">
        <v>54</v>
      </c>
      <c r="I1965" s="1" t="s">
        <v>12</v>
      </c>
      <c r="J1965" s="1" t="s">
        <v>219</v>
      </c>
      <c r="K1965" s="1" t="s">
        <v>14</v>
      </c>
      <c r="L1965" s="1" t="s">
        <v>12</v>
      </c>
      <c r="M1965" s="1" t="s">
        <v>12</v>
      </c>
      <c r="N1965" s="1">
        <v>12.06</v>
      </c>
      <c r="O1965" s="1" t="s">
        <v>24</v>
      </c>
      <c r="P1965" s="1">
        <v>3.06</v>
      </c>
      <c r="Q1965" s="1" t="s">
        <v>16</v>
      </c>
      <c r="R1965" s="1" t="str">
        <f>IF(N1965="","",VLOOKUP(N1965,Prior_levels,2,TRUE))</f>
        <v>L</v>
      </c>
    </row>
    <row r="1966" spans="1:18" x14ac:dyDescent="0.2">
      <c r="A1966" s="1" t="s">
        <v>218</v>
      </c>
      <c r="B1966" s="1" t="s">
        <v>10</v>
      </c>
      <c r="C1966" s="2">
        <v>41155</v>
      </c>
      <c r="D1966" s="1">
        <v>10</v>
      </c>
      <c r="E1966" s="1" t="s">
        <v>47</v>
      </c>
      <c r="H1966" s="1" t="s">
        <v>54</v>
      </c>
      <c r="I1966" s="1" t="s">
        <v>12</v>
      </c>
      <c r="J1966" s="1" t="s">
        <v>219</v>
      </c>
      <c r="K1966" s="1" t="s">
        <v>14</v>
      </c>
      <c r="L1966" s="1" t="s">
        <v>12</v>
      </c>
      <c r="M1966" s="1" t="s">
        <v>12</v>
      </c>
      <c r="N1966" s="1">
        <v>12.06</v>
      </c>
      <c r="O1966" s="1" t="s">
        <v>32</v>
      </c>
      <c r="P1966" s="1" t="s">
        <v>28</v>
      </c>
      <c r="Q1966" s="1" t="s">
        <v>16</v>
      </c>
      <c r="R1966" s="1" t="str">
        <f>IF(N1966="","",VLOOKUP(N1966,Prior_levels,2,TRUE))</f>
        <v>L</v>
      </c>
    </row>
    <row r="1967" spans="1:18" x14ac:dyDescent="0.2">
      <c r="A1967" s="1" t="s">
        <v>218</v>
      </c>
      <c r="B1967" s="1" t="s">
        <v>10</v>
      </c>
      <c r="C1967" s="2">
        <v>41155</v>
      </c>
      <c r="D1967" s="1">
        <v>10</v>
      </c>
      <c r="E1967" s="1" t="s">
        <v>47</v>
      </c>
      <c r="H1967" s="1" t="s">
        <v>54</v>
      </c>
      <c r="I1967" s="1" t="s">
        <v>12</v>
      </c>
      <c r="J1967" s="1" t="s">
        <v>219</v>
      </c>
      <c r="K1967" s="1" t="s">
        <v>14</v>
      </c>
      <c r="L1967" s="1" t="s">
        <v>12</v>
      </c>
      <c r="M1967" s="1" t="s">
        <v>12</v>
      </c>
      <c r="N1967" s="1">
        <v>12.06</v>
      </c>
      <c r="O1967" s="1" t="s">
        <v>27</v>
      </c>
      <c r="P1967" s="1" t="s">
        <v>28</v>
      </c>
      <c r="Q1967" s="1" t="s">
        <v>16</v>
      </c>
      <c r="R1967" s="1" t="str">
        <f>IF(N1967="","",VLOOKUP(N1967,Prior_levels,2,TRUE))</f>
        <v>L</v>
      </c>
    </row>
    <row r="1968" spans="1:18" x14ac:dyDescent="0.2">
      <c r="A1968" s="1" t="s">
        <v>218</v>
      </c>
      <c r="B1968" s="1" t="s">
        <v>10</v>
      </c>
      <c r="C1968" s="2">
        <v>41155</v>
      </c>
      <c r="D1968" s="1">
        <v>10</v>
      </c>
      <c r="E1968" s="1" t="s">
        <v>47</v>
      </c>
      <c r="H1968" s="1" t="s">
        <v>54</v>
      </c>
      <c r="I1968" s="1" t="s">
        <v>12</v>
      </c>
      <c r="J1968" s="1" t="s">
        <v>219</v>
      </c>
      <c r="K1968" s="1" t="s">
        <v>14</v>
      </c>
      <c r="L1968" s="1" t="s">
        <v>12</v>
      </c>
      <c r="M1968" s="1" t="s">
        <v>12</v>
      </c>
      <c r="N1968" s="1">
        <v>12.06</v>
      </c>
      <c r="O1968" s="1" t="s">
        <v>29</v>
      </c>
      <c r="P1968" s="1" t="s">
        <v>28</v>
      </c>
      <c r="Q1968" s="1" t="s">
        <v>16</v>
      </c>
      <c r="R1968" s="1" t="str">
        <f>IF(N1968="","",VLOOKUP(N1968,Prior_levels,2,TRUE))</f>
        <v>L</v>
      </c>
    </row>
    <row r="1969" spans="1:18" x14ac:dyDescent="0.2">
      <c r="A1969" s="1" t="s">
        <v>218</v>
      </c>
      <c r="B1969" s="1" t="s">
        <v>10</v>
      </c>
      <c r="C1969" s="2">
        <v>41155</v>
      </c>
      <c r="D1969" s="1">
        <v>10</v>
      </c>
      <c r="E1969" s="1" t="s">
        <v>47</v>
      </c>
      <c r="H1969" s="1" t="s">
        <v>54</v>
      </c>
      <c r="I1969" s="1" t="s">
        <v>12</v>
      </c>
      <c r="J1969" s="1" t="s">
        <v>219</v>
      </c>
      <c r="K1969" s="1" t="s">
        <v>14</v>
      </c>
      <c r="L1969" s="1" t="s">
        <v>12</v>
      </c>
      <c r="M1969" s="1" t="s">
        <v>12</v>
      </c>
      <c r="N1969" s="1">
        <v>12.06</v>
      </c>
      <c r="O1969" s="1" t="s">
        <v>30</v>
      </c>
      <c r="P1969" s="1" t="s">
        <v>28</v>
      </c>
      <c r="Q1969" s="1" t="s">
        <v>16</v>
      </c>
      <c r="R1969" s="1" t="str">
        <f>IF(N1969="","",VLOOKUP(N1969,Prior_levels,2,TRUE))</f>
        <v>L</v>
      </c>
    </row>
    <row r="1970" spans="1:18" x14ac:dyDescent="0.2">
      <c r="A1970" s="1" t="s">
        <v>218</v>
      </c>
      <c r="B1970" s="1" t="s">
        <v>10</v>
      </c>
      <c r="C1970" s="2">
        <v>41155</v>
      </c>
      <c r="D1970" s="1">
        <v>10</v>
      </c>
      <c r="E1970" s="1" t="s">
        <v>47</v>
      </c>
      <c r="H1970" s="1" t="s">
        <v>54</v>
      </c>
      <c r="I1970" s="1" t="s">
        <v>12</v>
      </c>
      <c r="J1970" s="1" t="s">
        <v>219</v>
      </c>
      <c r="K1970" s="1" t="s">
        <v>14</v>
      </c>
      <c r="L1970" s="1" t="s">
        <v>12</v>
      </c>
      <c r="M1970" s="1" t="s">
        <v>12</v>
      </c>
      <c r="N1970" s="1">
        <v>12.06</v>
      </c>
      <c r="O1970" s="1" t="s">
        <v>31</v>
      </c>
      <c r="P1970" s="1" t="s">
        <v>28</v>
      </c>
      <c r="Q1970" s="1" t="s">
        <v>16</v>
      </c>
      <c r="R1970" s="1" t="str">
        <f>IF(N1970="","",VLOOKUP(N1970,Prior_levels,2,TRUE))</f>
        <v>L</v>
      </c>
    </row>
    <row r="1971" spans="1:18" x14ac:dyDescent="0.2">
      <c r="A1971" s="1" t="s">
        <v>220</v>
      </c>
      <c r="B1971" s="1" t="s">
        <v>10</v>
      </c>
      <c r="C1971" s="2">
        <v>41155</v>
      </c>
      <c r="D1971" s="1">
        <v>10</v>
      </c>
      <c r="E1971" s="1" t="s">
        <v>34</v>
      </c>
      <c r="H1971" s="1" t="s">
        <v>54</v>
      </c>
      <c r="I1971" s="1" t="s">
        <v>12</v>
      </c>
      <c r="J1971" s="1" t="s">
        <v>221</v>
      </c>
      <c r="K1971" s="1" t="s">
        <v>14</v>
      </c>
      <c r="L1971" s="1" t="s">
        <v>12</v>
      </c>
      <c r="M1971" s="1" t="s">
        <v>12</v>
      </c>
      <c r="N1971" s="1">
        <v>15.06</v>
      </c>
      <c r="O1971" s="1" t="s">
        <v>15</v>
      </c>
      <c r="P1971" s="1">
        <v>2.2000000000000002</v>
      </c>
      <c r="Q1971" s="1" t="s">
        <v>16</v>
      </c>
      <c r="R1971" s="1" t="str">
        <f>IF(N1971="","",VLOOKUP(N1971,Prior_levels,2,TRUE))</f>
        <v>L</v>
      </c>
    </row>
    <row r="1972" spans="1:18" x14ac:dyDescent="0.2">
      <c r="A1972" s="1" t="s">
        <v>220</v>
      </c>
      <c r="B1972" s="1" t="s">
        <v>10</v>
      </c>
      <c r="C1972" s="2">
        <v>41155</v>
      </c>
      <c r="D1972" s="1">
        <v>10</v>
      </c>
      <c r="E1972" s="1" t="s">
        <v>34</v>
      </c>
      <c r="H1972" s="1" t="s">
        <v>54</v>
      </c>
      <c r="I1972" s="1" t="s">
        <v>12</v>
      </c>
      <c r="J1972" s="1" t="s">
        <v>221</v>
      </c>
      <c r="K1972" s="1" t="s">
        <v>14</v>
      </c>
      <c r="L1972" s="1" t="s">
        <v>12</v>
      </c>
      <c r="M1972" s="1" t="s">
        <v>12</v>
      </c>
      <c r="N1972" s="1">
        <v>15.06</v>
      </c>
      <c r="O1972" s="1" t="s">
        <v>17</v>
      </c>
      <c r="P1972" s="1">
        <v>0.28999999999999998</v>
      </c>
      <c r="Q1972" s="1" t="s">
        <v>16</v>
      </c>
      <c r="R1972" s="1" t="str">
        <f>IF(N1972="","",VLOOKUP(N1972,Prior_levels,2,TRUE))</f>
        <v>L</v>
      </c>
    </row>
    <row r="1973" spans="1:18" x14ac:dyDescent="0.2">
      <c r="A1973" s="1" t="s">
        <v>220</v>
      </c>
      <c r="B1973" s="1" t="s">
        <v>10</v>
      </c>
      <c r="C1973" s="2">
        <v>41155</v>
      </c>
      <c r="D1973" s="1">
        <v>10</v>
      </c>
      <c r="E1973" s="1" t="s">
        <v>34</v>
      </c>
      <c r="H1973" s="1" t="s">
        <v>54</v>
      </c>
      <c r="I1973" s="1" t="s">
        <v>12</v>
      </c>
      <c r="J1973" s="1" t="s">
        <v>221</v>
      </c>
      <c r="K1973" s="1" t="s">
        <v>14</v>
      </c>
      <c r="L1973" s="1" t="s">
        <v>12</v>
      </c>
      <c r="M1973" s="1" t="s">
        <v>12</v>
      </c>
      <c r="N1973" s="1">
        <v>15.06</v>
      </c>
      <c r="O1973" s="1" t="s">
        <v>18</v>
      </c>
      <c r="P1973" s="1">
        <v>6</v>
      </c>
      <c r="Q1973" s="1" t="s">
        <v>16</v>
      </c>
      <c r="R1973" s="1" t="str">
        <f>IF(N1973="","",VLOOKUP(N1973,Prior_levels,2,TRUE))</f>
        <v>L</v>
      </c>
    </row>
    <row r="1974" spans="1:18" x14ac:dyDescent="0.2">
      <c r="A1974" s="1" t="s">
        <v>220</v>
      </c>
      <c r="B1974" s="1" t="s">
        <v>10</v>
      </c>
      <c r="C1974" s="2">
        <v>41155</v>
      </c>
      <c r="D1974" s="1">
        <v>10</v>
      </c>
      <c r="E1974" s="1" t="s">
        <v>34</v>
      </c>
      <c r="H1974" s="1" t="s">
        <v>54</v>
      </c>
      <c r="I1974" s="1" t="s">
        <v>12</v>
      </c>
      <c r="J1974" s="1" t="s">
        <v>221</v>
      </c>
      <c r="K1974" s="1" t="s">
        <v>14</v>
      </c>
      <c r="L1974" s="1" t="s">
        <v>12</v>
      </c>
      <c r="M1974" s="1" t="s">
        <v>12</v>
      </c>
      <c r="N1974" s="1">
        <v>15.06</v>
      </c>
      <c r="O1974" s="1" t="s">
        <v>19</v>
      </c>
      <c r="P1974" s="1">
        <v>4</v>
      </c>
      <c r="Q1974" s="1" t="s">
        <v>16</v>
      </c>
      <c r="R1974" s="1" t="str">
        <f>IF(N1974="","",VLOOKUP(N1974,Prior_levels,2,TRUE))</f>
        <v>L</v>
      </c>
    </row>
    <row r="1975" spans="1:18" x14ac:dyDescent="0.2">
      <c r="A1975" s="1" t="s">
        <v>220</v>
      </c>
      <c r="B1975" s="1" t="s">
        <v>10</v>
      </c>
      <c r="C1975" s="2">
        <v>41155</v>
      </c>
      <c r="D1975" s="1">
        <v>10</v>
      </c>
      <c r="E1975" s="1" t="s">
        <v>34</v>
      </c>
      <c r="H1975" s="1" t="s">
        <v>54</v>
      </c>
      <c r="I1975" s="1" t="s">
        <v>12</v>
      </c>
      <c r="J1975" s="1" t="s">
        <v>221</v>
      </c>
      <c r="K1975" s="1" t="s">
        <v>14</v>
      </c>
      <c r="L1975" s="1" t="s">
        <v>12</v>
      </c>
      <c r="M1975" s="1" t="s">
        <v>12</v>
      </c>
      <c r="N1975" s="1">
        <v>15.06</v>
      </c>
      <c r="O1975" s="1" t="s">
        <v>20</v>
      </c>
      <c r="P1975" s="1">
        <v>5</v>
      </c>
      <c r="Q1975" s="1" t="s">
        <v>16</v>
      </c>
      <c r="R1975" s="1" t="str">
        <f>IF(N1975="","",VLOOKUP(N1975,Prior_levels,2,TRUE))</f>
        <v>L</v>
      </c>
    </row>
    <row r="1976" spans="1:18" x14ac:dyDescent="0.2">
      <c r="A1976" s="1" t="s">
        <v>220</v>
      </c>
      <c r="B1976" s="1" t="s">
        <v>10</v>
      </c>
      <c r="C1976" s="2">
        <v>41155</v>
      </c>
      <c r="D1976" s="1">
        <v>10</v>
      </c>
      <c r="E1976" s="1" t="s">
        <v>34</v>
      </c>
      <c r="H1976" s="1" t="s">
        <v>54</v>
      </c>
      <c r="I1976" s="1" t="s">
        <v>12</v>
      </c>
      <c r="J1976" s="1" t="s">
        <v>221</v>
      </c>
      <c r="K1976" s="1" t="s">
        <v>14</v>
      </c>
      <c r="L1976" s="1" t="s">
        <v>12</v>
      </c>
      <c r="M1976" s="1" t="s">
        <v>12</v>
      </c>
      <c r="N1976" s="1">
        <v>15.06</v>
      </c>
      <c r="O1976" s="1" t="s">
        <v>21</v>
      </c>
      <c r="P1976" s="1">
        <v>7</v>
      </c>
      <c r="Q1976" s="1" t="s">
        <v>16</v>
      </c>
      <c r="R1976" s="1" t="str">
        <f>IF(N1976="","",VLOOKUP(N1976,Prior_levels,2,TRUE))</f>
        <v>L</v>
      </c>
    </row>
    <row r="1977" spans="1:18" x14ac:dyDescent="0.2">
      <c r="A1977" s="1" t="s">
        <v>220</v>
      </c>
      <c r="B1977" s="1" t="s">
        <v>10</v>
      </c>
      <c r="C1977" s="2">
        <v>41155</v>
      </c>
      <c r="D1977" s="1">
        <v>10</v>
      </c>
      <c r="E1977" s="1" t="s">
        <v>34</v>
      </c>
      <c r="H1977" s="1" t="s">
        <v>54</v>
      </c>
      <c r="I1977" s="1" t="s">
        <v>12</v>
      </c>
      <c r="J1977" s="1" t="s">
        <v>221</v>
      </c>
      <c r="K1977" s="1" t="s">
        <v>14</v>
      </c>
      <c r="L1977" s="1" t="s">
        <v>12</v>
      </c>
      <c r="M1977" s="1" t="s">
        <v>12</v>
      </c>
      <c r="N1977" s="1">
        <v>15.06</v>
      </c>
      <c r="O1977" s="1" t="s">
        <v>22</v>
      </c>
      <c r="P1977" s="1">
        <v>0.34</v>
      </c>
      <c r="Q1977" s="1" t="s">
        <v>16</v>
      </c>
      <c r="R1977" s="1" t="str">
        <f>IF(N1977="","",VLOOKUP(N1977,Prior_levels,2,TRUE))</f>
        <v>L</v>
      </c>
    </row>
    <row r="1978" spans="1:18" x14ac:dyDescent="0.2">
      <c r="A1978" s="1" t="s">
        <v>220</v>
      </c>
      <c r="B1978" s="1" t="s">
        <v>10</v>
      </c>
      <c r="C1978" s="2">
        <v>41155</v>
      </c>
      <c r="D1978" s="1">
        <v>10</v>
      </c>
      <c r="E1978" s="1" t="s">
        <v>34</v>
      </c>
      <c r="H1978" s="1" t="s">
        <v>54</v>
      </c>
      <c r="I1978" s="1" t="s">
        <v>12</v>
      </c>
      <c r="J1978" s="1" t="s">
        <v>221</v>
      </c>
      <c r="K1978" s="1" t="s">
        <v>14</v>
      </c>
      <c r="L1978" s="1" t="s">
        <v>12</v>
      </c>
      <c r="M1978" s="1" t="s">
        <v>12</v>
      </c>
      <c r="N1978" s="1">
        <v>15.06</v>
      </c>
      <c r="O1978" s="1" t="s">
        <v>23</v>
      </c>
      <c r="P1978" s="1">
        <v>0.68</v>
      </c>
      <c r="Q1978" s="1" t="s">
        <v>16</v>
      </c>
      <c r="R1978" s="1" t="str">
        <f>IF(N1978="","",VLOOKUP(N1978,Prior_levels,2,TRUE))</f>
        <v>L</v>
      </c>
    </row>
    <row r="1979" spans="1:18" x14ac:dyDescent="0.2">
      <c r="A1979" s="1" t="s">
        <v>220</v>
      </c>
      <c r="B1979" s="1" t="s">
        <v>10</v>
      </c>
      <c r="C1979" s="2">
        <v>41155</v>
      </c>
      <c r="D1979" s="1">
        <v>10</v>
      </c>
      <c r="E1979" s="1" t="s">
        <v>34</v>
      </c>
      <c r="H1979" s="1" t="s">
        <v>54</v>
      </c>
      <c r="I1979" s="1" t="s">
        <v>12</v>
      </c>
      <c r="J1979" s="1" t="s">
        <v>221</v>
      </c>
      <c r="K1979" s="1" t="s">
        <v>14</v>
      </c>
      <c r="L1979" s="1" t="s">
        <v>12</v>
      </c>
      <c r="M1979" s="1" t="s">
        <v>12</v>
      </c>
      <c r="N1979" s="1">
        <v>15.06</v>
      </c>
      <c r="O1979" s="1" t="s">
        <v>24</v>
      </c>
      <c r="P1979" s="1">
        <v>2.44</v>
      </c>
      <c r="Q1979" s="1" t="s">
        <v>16</v>
      </c>
      <c r="R1979" s="1" t="str">
        <f>IF(N1979="","",VLOOKUP(N1979,Prior_levels,2,TRUE))</f>
        <v>L</v>
      </c>
    </row>
    <row r="1980" spans="1:18" x14ac:dyDescent="0.2">
      <c r="A1980" s="1" t="s">
        <v>220</v>
      </c>
      <c r="B1980" s="1" t="s">
        <v>10</v>
      </c>
      <c r="C1980" s="2">
        <v>41155</v>
      </c>
      <c r="D1980" s="1">
        <v>10</v>
      </c>
      <c r="E1980" s="1" t="s">
        <v>34</v>
      </c>
      <c r="H1980" s="1" t="s">
        <v>54</v>
      </c>
      <c r="I1980" s="1" t="s">
        <v>12</v>
      </c>
      <c r="J1980" s="1" t="s">
        <v>221</v>
      </c>
      <c r="K1980" s="1" t="s">
        <v>14</v>
      </c>
      <c r="L1980" s="1" t="s">
        <v>12</v>
      </c>
      <c r="M1980" s="1" t="s">
        <v>12</v>
      </c>
      <c r="N1980" s="1">
        <v>15.06</v>
      </c>
      <c r="O1980" s="1" t="s">
        <v>25</v>
      </c>
      <c r="P1980" s="1">
        <v>-1.63</v>
      </c>
      <c r="Q1980" s="1" t="s">
        <v>16</v>
      </c>
      <c r="R1980" s="1" t="str">
        <f>IF(N1980="","",VLOOKUP(N1980,Prior_levels,2,TRUE))</f>
        <v>L</v>
      </c>
    </row>
    <row r="1981" spans="1:18" x14ac:dyDescent="0.2">
      <c r="A1981" s="1" t="s">
        <v>220</v>
      </c>
      <c r="B1981" s="1" t="s">
        <v>10</v>
      </c>
      <c r="C1981" s="2">
        <v>41155</v>
      </c>
      <c r="D1981" s="1">
        <v>10</v>
      </c>
      <c r="E1981" s="1" t="s">
        <v>34</v>
      </c>
      <c r="H1981" s="1" t="s">
        <v>54</v>
      </c>
      <c r="I1981" s="1" t="s">
        <v>12</v>
      </c>
      <c r="J1981" s="1" t="s">
        <v>221</v>
      </c>
      <c r="K1981" s="1" t="s">
        <v>14</v>
      </c>
      <c r="L1981" s="1" t="s">
        <v>12</v>
      </c>
      <c r="M1981" s="1" t="s">
        <v>12</v>
      </c>
      <c r="N1981" s="1">
        <v>15.06</v>
      </c>
      <c r="O1981" s="1" t="s">
        <v>26</v>
      </c>
      <c r="P1981" s="1">
        <v>0</v>
      </c>
      <c r="Q1981" s="1" t="s">
        <v>16</v>
      </c>
      <c r="R1981" s="1" t="str">
        <f>IF(N1981="","",VLOOKUP(N1981,Prior_levels,2,TRUE))</f>
        <v>L</v>
      </c>
    </row>
    <row r="1982" spans="1:18" x14ac:dyDescent="0.2">
      <c r="A1982" s="1" t="s">
        <v>220</v>
      </c>
      <c r="B1982" s="1" t="s">
        <v>10</v>
      </c>
      <c r="C1982" s="2">
        <v>41155</v>
      </c>
      <c r="D1982" s="1">
        <v>10</v>
      </c>
      <c r="E1982" s="1" t="s">
        <v>34</v>
      </c>
      <c r="H1982" s="1" t="s">
        <v>54</v>
      </c>
      <c r="I1982" s="1" t="s">
        <v>12</v>
      </c>
      <c r="J1982" s="1" t="s">
        <v>221</v>
      </c>
      <c r="K1982" s="1" t="s">
        <v>14</v>
      </c>
      <c r="L1982" s="1" t="s">
        <v>12</v>
      </c>
      <c r="M1982" s="1" t="s">
        <v>12</v>
      </c>
      <c r="N1982" s="1">
        <v>15.06</v>
      </c>
      <c r="O1982" s="1" t="s">
        <v>27</v>
      </c>
      <c r="P1982" s="1" t="s">
        <v>28</v>
      </c>
      <c r="Q1982" s="1" t="s">
        <v>16</v>
      </c>
      <c r="R1982" s="1" t="str">
        <f>IF(N1982="","",VLOOKUP(N1982,Prior_levels,2,TRUE))</f>
        <v>L</v>
      </c>
    </row>
    <row r="1983" spans="1:18" x14ac:dyDescent="0.2">
      <c r="A1983" s="1" t="s">
        <v>220</v>
      </c>
      <c r="B1983" s="1" t="s">
        <v>10</v>
      </c>
      <c r="C1983" s="2">
        <v>41155</v>
      </c>
      <c r="D1983" s="1">
        <v>10</v>
      </c>
      <c r="E1983" s="1" t="s">
        <v>34</v>
      </c>
      <c r="H1983" s="1" t="s">
        <v>54</v>
      </c>
      <c r="I1983" s="1" t="s">
        <v>12</v>
      </c>
      <c r="J1983" s="1" t="s">
        <v>221</v>
      </c>
      <c r="K1983" s="1" t="s">
        <v>14</v>
      </c>
      <c r="L1983" s="1" t="s">
        <v>12</v>
      </c>
      <c r="M1983" s="1" t="s">
        <v>12</v>
      </c>
      <c r="N1983" s="1">
        <v>15.06</v>
      </c>
      <c r="O1983" s="1" t="s">
        <v>29</v>
      </c>
      <c r="P1983" s="1" t="s">
        <v>28</v>
      </c>
      <c r="Q1983" s="1" t="s">
        <v>16</v>
      </c>
      <c r="R1983" s="1" t="str">
        <f>IF(N1983="","",VLOOKUP(N1983,Prior_levels,2,TRUE))</f>
        <v>L</v>
      </c>
    </row>
    <row r="1984" spans="1:18" x14ac:dyDescent="0.2">
      <c r="A1984" s="1" t="s">
        <v>220</v>
      </c>
      <c r="B1984" s="1" t="s">
        <v>10</v>
      </c>
      <c r="C1984" s="2">
        <v>41155</v>
      </c>
      <c r="D1984" s="1">
        <v>10</v>
      </c>
      <c r="E1984" s="1" t="s">
        <v>34</v>
      </c>
      <c r="H1984" s="1" t="s">
        <v>54</v>
      </c>
      <c r="I1984" s="1" t="s">
        <v>12</v>
      </c>
      <c r="J1984" s="1" t="s">
        <v>221</v>
      </c>
      <c r="K1984" s="1" t="s">
        <v>14</v>
      </c>
      <c r="L1984" s="1" t="s">
        <v>12</v>
      </c>
      <c r="M1984" s="1" t="s">
        <v>12</v>
      </c>
      <c r="N1984" s="1">
        <v>15.06</v>
      </c>
      <c r="O1984" s="1" t="s">
        <v>30</v>
      </c>
      <c r="P1984" s="1" t="s">
        <v>28</v>
      </c>
      <c r="Q1984" s="1" t="s">
        <v>16</v>
      </c>
      <c r="R1984" s="1" t="str">
        <f>IF(N1984="","",VLOOKUP(N1984,Prior_levels,2,TRUE))</f>
        <v>L</v>
      </c>
    </row>
    <row r="1985" spans="1:18" x14ac:dyDescent="0.2">
      <c r="A1985" s="1" t="s">
        <v>220</v>
      </c>
      <c r="B1985" s="1" t="s">
        <v>10</v>
      </c>
      <c r="C1985" s="2">
        <v>41155</v>
      </c>
      <c r="D1985" s="1">
        <v>10</v>
      </c>
      <c r="E1985" s="1" t="s">
        <v>34</v>
      </c>
      <c r="H1985" s="1" t="s">
        <v>54</v>
      </c>
      <c r="I1985" s="1" t="s">
        <v>12</v>
      </c>
      <c r="J1985" s="1" t="s">
        <v>221</v>
      </c>
      <c r="K1985" s="1" t="s">
        <v>14</v>
      </c>
      <c r="L1985" s="1" t="s">
        <v>12</v>
      </c>
      <c r="M1985" s="1" t="s">
        <v>12</v>
      </c>
      <c r="N1985" s="1">
        <v>15.06</v>
      </c>
      <c r="O1985" s="1" t="s">
        <v>31</v>
      </c>
      <c r="P1985" s="1" t="s">
        <v>28</v>
      </c>
      <c r="Q1985" s="1" t="s">
        <v>16</v>
      </c>
      <c r="R1985" s="1" t="str">
        <f>IF(N1985="","",VLOOKUP(N1985,Prior_levels,2,TRUE))</f>
        <v>L</v>
      </c>
    </row>
    <row r="1986" spans="1:18" x14ac:dyDescent="0.2">
      <c r="A1986" s="1" t="s">
        <v>220</v>
      </c>
      <c r="B1986" s="1" t="s">
        <v>10</v>
      </c>
      <c r="C1986" s="2">
        <v>41155</v>
      </c>
      <c r="D1986" s="1">
        <v>10</v>
      </c>
      <c r="E1986" s="1" t="s">
        <v>34</v>
      </c>
      <c r="H1986" s="1" t="s">
        <v>54</v>
      </c>
      <c r="I1986" s="1" t="s">
        <v>12</v>
      </c>
      <c r="J1986" s="1" t="s">
        <v>221</v>
      </c>
      <c r="K1986" s="1" t="s">
        <v>14</v>
      </c>
      <c r="L1986" s="1" t="s">
        <v>12</v>
      </c>
      <c r="M1986" s="1" t="s">
        <v>12</v>
      </c>
      <c r="N1986" s="1">
        <v>15.06</v>
      </c>
      <c r="O1986" s="1" t="s">
        <v>32</v>
      </c>
      <c r="P1986" s="1" t="s">
        <v>28</v>
      </c>
      <c r="Q1986" s="1" t="s">
        <v>16</v>
      </c>
      <c r="R1986" s="1" t="str">
        <f>IF(N1986="","",VLOOKUP(N1986,Prior_levels,2,TRUE))</f>
        <v>L</v>
      </c>
    </row>
    <row r="1987" spans="1:18" x14ac:dyDescent="0.2">
      <c r="A1987" s="1" t="s">
        <v>222</v>
      </c>
      <c r="B1987" s="1" t="s">
        <v>12</v>
      </c>
      <c r="C1987" s="2">
        <v>41155</v>
      </c>
      <c r="D1987" s="1">
        <v>10</v>
      </c>
      <c r="E1987" s="1" t="s">
        <v>11</v>
      </c>
      <c r="H1987" s="1" t="s">
        <v>54</v>
      </c>
      <c r="I1987" s="1" t="s">
        <v>12</v>
      </c>
      <c r="J1987" s="1" t="s">
        <v>40</v>
      </c>
      <c r="K1987" s="1" t="s">
        <v>14</v>
      </c>
      <c r="L1987" s="1" t="s">
        <v>12</v>
      </c>
      <c r="M1987" s="1" t="s">
        <v>12</v>
      </c>
      <c r="N1987" s="1">
        <v>33.18</v>
      </c>
      <c r="O1987" s="1" t="s">
        <v>15</v>
      </c>
      <c r="P1987" s="1">
        <v>5.4</v>
      </c>
      <c r="Q1987" s="1" t="s">
        <v>16</v>
      </c>
      <c r="R1987" s="1" t="str">
        <f>IF(N1987="","",VLOOKUP(N1987,Prior_levels,2,TRUE))</f>
        <v>H</v>
      </c>
    </row>
    <row r="1988" spans="1:18" x14ac:dyDescent="0.2">
      <c r="A1988" s="1" t="s">
        <v>222</v>
      </c>
      <c r="B1988" s="1" t="s">
        <v>12</v>
      </c>
      <c r="C1988" s="2">
        <v>41155</v>
      </c>
      <c r="D1988" s="1">
        <v>10</v>
      </c>
      <c r="E1988" s="1" t="s">
        <v>11</v>
      </c>
      <c r="H1988" s="1" t="s">
        <v>54</v>
      </c>
      <c r="I1988" s="1" t="s">
        <v>12</v>
      </c>
      <c r="J1988" s="1" t="s">
        <v>40</v>
      </c>
      <c r="K1988" s="1" t="s">
        <v>14</v>
      </c>
      <c r="L1988" s="1" t="s">
        <v>12</v>
      </c>
      <c r="M1988" s="1" t="s">
        <v>12</v>
      </c>
      <c r="N1988" s="1">
        <v>33.18</v>
      </c>
      <c r="O1988" s="1" t="s">
        <v>17</v>
      </c>
      <c r="P1988" s="1">
        <v>-1.1499999999999999</v>
      </c>
      <c r="Q1988" s="1" t="s">
        <v>16</v>
      </c>
      <c r="R1988" s="1" t="str">
        <f>IF(N1988="","",VLOOKUP(N1988,Prior_levels,2,TRUE))</f>
        <v>H</v>
      </c>
    </row>
    <row r="1989" spans="1:18" x14ac:dyDescent="0.2">
      <c r="A1989" s="1" t="s">
        <v>222</v>
      </c>
      <c r="B1989" s="1" t="s">
        <v>12</v>
      </c>
      <c r="C1989" s="2">
        <v>41155</v>
      </c>
      <c r="D1989" s="1">
        <v>10</v>
      </c>
      <c r="E1989" s="1" t="s">
        <v>11</v>
      </c>
      <c r="H1989" s="1" t="s">
        <v>54</v>
      </c>
      <c r="I1989" s="1" t="s">
        <v>12</v>
      </c>
      <c r="J1989" s="1" t="s">
        <v>40</v>
      </c>
      <c r="K1989" s="1" t="s">
        <v>14</v>
      </c>
      <c r="L1989" s="1" t="s">
        <v>12</v>
      </c>
      <c r="M1989" s="1" t="s">
        <v>12</v>
      </c>
      <c r="N1989" s="1">
        <v>33.18</v>
      </c>
      <c r="O1989" s="1" t="s">
        <v>18</v>
      </c>
      <c r="P1989" s="1">
        <v>14</v>
      </c>
      <c r="Q1989" s="1" t="s">
        <v>16</v>
      </c>
      <c r="R1989" s="1" t="str">
        <f>IF(N1989="","",VLOOKUP(N1989,Prior_levels,2,TRUE))</f>
        <v>H</v>
      </c>
    </row>
    <row r="1990" spans="1:18" x14ac:dyDescent="0.2">
      <c r="A1990" s="1" t="s">
        <v>222</v>
      </c>
      <c r="B1990" s="1" t="s">
        <v>12</v>
      </c>
      <c r="C1990" s="2">
        <v>41155</v>
      </c>
      <c r="D1990" s="1">
        <v>10</v>
      </c>
      <c r="E1990" s="1" t="s">
        <v>11</v>
      </c>
      <c r="H1990" s="1" t="s">
        <v>54</v>
      </c>
      <c r="I1990" s="1" t="s">
        <v>12</v>
      </c>
      <c r="J1990" s="1" t="s">
        <v>40</v>
      </c>
      <c r="K1990" s="1" t="s">
        <v>14</v>
      </c>
      <c r="L1990" s="1" t="s">
        <v>12</v>
      </c>
      <c r="M1990" s="1" t="s">
        <v>12</v>
      </c>
      <c r="N1990" s="1">
        <v>33.18</v>
      </c>
      <c r="O1990" s="1" t="s">
        <v>19</v>
      </c>
      <c r="P1990" s="1">
        <v>10</v>
      </c>
      <c r="Q1990" s="1" t="s">
        <v>16</v>
      </c>
      <c r="R1990" s="1" t="str">
        <f>IF(N1990="","",VLOOKUP(N1990,Prior_levels,2,TRUE))</f>
        <v>H</v>
      </c>
    </row>
    <row r="1991" spans="1:18" x14ac:dyDescent="0.2">
      <c r="A1991" s="1" t="s">
        <v>222</v>
      </c>
      <c r="B1991" s="1" t="s">
        <v>12</v>
      </c>
      <c r="C1991" s="2">
        <v>41155</v>
      </c>
      <c r="D1991" s="1">
        <v>10</v>
      </c>
      <c r="E1991" s="1" t="s">
        <v>11</v>
      </c>
      <c r="H1991" s="1" t="s">
        <v>54</v>
      </c>
      <c r="I1991" s="1" t="s">
        <v>12</v>
      </c>
      <c r="J1991" s="1" t="s">
        <v>40</v>
      </c>
      <c r="K1991" s="1" t="s">
        <v>14</v>
      </c>
      <c r="L1991" s="1" t="s">
        <v>12</v>
      </c>
      <c r="M1991" s="1" t="s">
        <v>12</v>
      </c>
      <c r="N1991" s="1">
        <v>33.18</v>
      </c>
      <c r="O1991" s="1" t="s">
        <v>20</v>
      </c>
      <c r="P1991" s="1">
        <v>15</v>
      </c>
      <c r="Q1991" s="1" t="s">
        <v>16</v>
      </c>
      <c r="R1991" s="1" t="str">
        <f>IF(N1991="","",VLOOKUP(N1991,Prior_levels,2,TRUE))</f>
        <v>H</v>
      </c>
    </row>
    <row r="1992" spans="1:18" x14ac:dyDescent="0.2">
      <c r="A1992" s="1" t="s">
        <v>222</v>
      </c>
      <c r="B1992" s="1" t="s">
        <v>12</v>
      </c>
      <c r="C1992" s="2">
        <v>41155</v>
      </c>
      <c r="D1992" s="1">
        <v>10</v>
      </c>
      <c r="E1992" s="1" t="s">
        <v>11</v>
      </c>
      <c r="H1992" s="1" t="s">
        <v>54</v>
      </c>
      <c r="I1992" s="1" t="s">
        <v>12</v>
      </c>
      <c r="J1992" s="1" t="s">
        <v>40</v>
      </c>
      <c r="K1992" s="1" t="s">
        <v>14</v>
      </c>
      <c r="L1992" s="1" t="s">
        <v>12</v>
      </c>
      <c r="M1992" s="1" t="s">
        <v>12</v>
      </c>
      <c r="N1992" s="1">
        <v>33.18</v>
      </c>
      <c r="O1992" s="1" t="s">
        <v>21</v>
      </c>
      <c r="P1992" s="1">
        <v>15</v>
      </c>
      <c r="Q1992" s="1" t="s">
        <v>16</v>
      </c>
      <c r="R1992" s="1" t="str">
        <f>IF(N1992="","",VLOOKUP(N1992,Prior_levels,2,TRUE))</f>
        <v>H</v>
      </c>
    </row>
    <row r="1993" spans="1:18" x14ac:dyDescent="0.2">
      <c r="A1993" s="1" t="s">
        <v>222</v>
      </c>
      <c r="B1993" s="1" t="s">
        <v>12</v>
      </c>
      <c r="C1993" s="2">
        <v>41155</v>
      </c>
      <c r="D1993" s="1">
        <v>10</v>
      </c>
      <c r="E1993" s="1" t="s">
        <v>11</v>
      </c>
      <c r="H1993" s="1" t="s">
        <v>54</v>
      </c>
      <c r="I1993" s="1" t="s">
        <v>12</v>
      </c>
      <c r="J1993" s="1" t="s">
        <v>40</v>
      </c>
      <c r="K1993" s="1" t="s">
        <v>14</v>
      </c>
      <c r="L1993" s="1" t="s">
        <v>12</v>
      </c>
      <c r="M1993" s="1" t="s">
        <v>12</v>
      </c>
      <c r="N1993" s="1">
        <v>33.18</v>
      </c>
      <c r="O1993" s="1" t="s">
        <v>22</v>
      </c>
      <c r="P1993" s="1">
        <v>0.36</v>
      </c>
      <c r="Q1993" s="1" t="s">
        <v>16</v>
      </c>
      <c r="R1993" s="1" t="str">
        <f>IF(N1993="","",VLOOKUP(N1993,Prior_levels,2,TRUE))</f>
        <v>H</v>
      </c>
    </row>
    <row r="1994" spans="1:18" x14ac:dyDescent="0.2">
      <c r="A1994" s="1" t="s">
        <v>222</v>
      </c>
      <c r="B1994" s="1" t="s">
        <v>12</v>
      </c>
      <c r="C1994" s="2">
        <v>41155</v>
      </c>
      <c r="D1994" s="1">
        <v>10</v>
      </c>
      <c r="E1994" s="1" t="s">
        <v>11</v>
      </c>
      <c r="H1994" s="1" t="s">
        <v>54</v>
      </c>
      <c r="I1994" s="1" t="s">
        <v>12</v>
      </c>
      <c r="J1994" s="1" t="s">
        <v>40</v>
      </c>
      <c r="K1994" s="1" t="s">
        <v>14</v>
      </c>
      <c r="L1994" s="1" t="s">
        <v>12</v>
      </c>
      <c r="M1994" s="1" t="s">
        <v>12</v>
      </c>
      <c r="N1994" s="1">
        <v>33.18</v>
      </c>
      <c r="O1994" s="1" t="s">
        <v>23</v>
      </c>
      <c r="P1994" s="1">
        <v>-1.66</v>
      </c>
      <c r="Q1994" s="1" t="s">
        <v>16</v>
      </c>
      <c r="R1994" s="1" t="str">
        <f>IF(N1994="","",VLOOKUP(N1994,Prior_levels,2,TRUE))</f>
        <v>H</v>
      </c>
    </row>
    <row r="1995" spans="1:18" x14ac:dyDescent="0.2">
      <c r="A1995" s="1" t="s">
        <v>222</v>
      </c>
      <c r="B1995" s="1" t="s">
        <v>12</v>
      </c>
      <c r="C1995" s="2">
        <v>41155</v>
      </c>
      <c r="D1995" s="1">
        <v>10</v>
      </c>
      <c r="E1995" s="1" t="s">
        <v>11</v>
      </c>
      <c r="H1995" s="1" t="s">
        <v>54</v>
      </c>
      <c r="I1995" s="1" t="s">
        <v>12</v>
      </c>
      <c r="J1995" s="1" t="s">
        <v>40</v>
      </c>
      <c r="K1995" s="1" t="s">
        <v>14</v>
      </c>
      <c r="L1995" s="1" t="s">
        <v>12</v>
      </c>
      <c r="M1995" s="1" t="s">
        <v>12</v>
      </c>
      <c r="N1995" s="1">
        <v>33.18</v>
      </c>
      <c r="O1995" s="1" t="s">
        <v>25</v>
      </c>
      <c r="P1995" s="1">
        <v>-4.62</v>
      </c>
      <c r="Q1995" s="1" t="s">
        <v>16</v>
      </c>
      <c r="R1995" s="1" t="str">
        <f>IF(N1995="","",VLOOKUP(N1995,Prior_levels,2,TRUE))</f>
        <v>H</v>
      </c>
    </row>
    <row r="1996" spans="1:18" x14ac:dyDescent="0.2">
      <c r="A1996" s="1" t="s">
        <v>222</v>
      </c>
      <c r="B1996" s="1" t="s">
        <v>12</v>
      </c>
      <c r="C1996" s="2">
        <v>41155</v>
      </c>
      <c r="D1996" s="1">
        <v>10</v>
      </c>
      <c r="E1996" s="1" t="s">
        <v>11</v>
      </c>
      <c r="H1996" s="1" t="s">
        <v>54</v>
      </c>
      <c r="I1996" s="1" t="s">
        <v>12</v>
      </c>
      <c r="J1996" s="1" t="s">
        <v>40</v>
      </c>
      <c r="K1996" s="1" t="s">
        <v>14</v>
      </c>
      <c r="L1996" s="1" t="s">
        <v>12</v>
      </c>
      <c r="M1996" s="1" t="s">
        <v>12</v>
      </c>
      <c r="N1996" s="1">
        <v>33.18</v>
      </c>
      <c r="O1996" s="1" t="s">
        <v>26</v>
      </c>
      <c r="P1996" s="1">
        <v>11</v>
      </c>
      <c r="Q1996" s="1" t="s">
        <v>16</v>
      </c>
      <c r="R1996" s="1" t="str">
        <f>IF(N1996="","",VLOOKUP(N1996,Prior_levels,2,TRUE))</f>
        <v>H</v>
      </c>
    </row>
    <row r="1997" spans="1:18" x14ac:dyDescent="0.2">
      <c r="A1997" s="1" t="s">
        <v>222</v>
      </c>
      <c r="B1997" s="1" t="s">
        <v>12</v>
      </c>
      <c r="C1997" s="2">
        <v>41155</v>
      </c>
      <c r="D1997" s="1">
        <v>10</v>
      </c>
      <c r="E1997" s="1" t="s">
        <v>11</v>
      </c>
      <c r="H1997" s="1" t="s">
        <v>54</v>
      </c>
      <c r="I1997" s="1" t="s">
        <v>12</v>
      </c>
      <c r="J1997" s="1" t="s">
        <v>40</v>
      </c>
      <c r="K1997" s="1" t="s">
        <v>14</v>
      </c>
      <c r="L1997" s="1" t="s">
        <v>12</v>
      </c>
      <c r="M1997" s="1" t="s">
        <v>12</v>
      </c>
      <c r="N1997" s="1">
        <v>33.18</v>
      </c>
      <c r="O1997" s="1" t="s">
        <v>24</v>
      </c>
      <c r="P1997" s="1">
        <v>-4.2699999999999996</v>
      </c>
      <c r="Q1997" s="1" t="s">
        <v>16</v>
      </c>
      <c r="R1997" s="1" t="str">
        <f>IF(N1997="","",VLOOKUP(N1997,Prior_levels,2,TRUE))</f>
        <v>H</v>
      </c>
    </row>
    <row r="1998" spans="1:18" x14ac:dyDescent="0.2">
      <c r="A1998" s="1" t="s">
        <v>222</v>
      </c>
      <c r="B1998" s="1" t="s">
        <v>12</v>
      </c>
      <c r="C1998" s="2">
        <v>41155</v>
      </c>
      <c r="D1998" s="1">
        <v>10</v>
      </c>
      <c r="E1998" s="1" t="s">
        <v>11</v>
      </c>
      <c r="H1998" s="1" t="s">
        <v>54</v>
      </c>
      <c r="I1998" s="1" t="s">
        <v>12</v>
      </c>
      <c r="J1998" s="1" t="s">
        <v>40</v>
      </c>
      <c r="K1998" s="1" t="s">
        <v>14</v>
      </c>
      <c r="L1998" s="1" t="s">
        <v>12</v>
      </c>
      <c r="M1998" s="1" t="s">
        <v>12</v>
      </c>
      <c r="N1998" s="1">
        <v>33.18</v>
      </c>
      <c r="O1998" s="1" t="s">
        <v>32</v>
      </c>
      <c r="P1998" s="1" t="s">
        <v>37</v>
      </c>
      <c r="Q1998" s="1" t="s">
        <v>16</v>
      </c>
      <c r="R1998" s="1" t="str">
        <f>IF(N1998="","",VLOOKUP(N1998,Prior_levels,2,TRUE))</f>
        <v>H</v>
      </c>
    </row>
    <row r="1999" spans="1:18" x14ac:dyDescent="0.2">
      <c r="A1999" s="1" t="s">
        <v>222</v>
      </c>
      <c r="B1999" s="1" t="s">
        <v>12</v>
      </c>
      <c r="C1999" s="2">
        <v>41155</v>
      </c>
      <c r="D1999" s="1">
        <v>10</v>
      </c>
      <c r="E1999" s="1" t="s">
        <v>11</v>
      </c>
      <c r="H1999" s="1" t="s">
        <v>54</v>
      </c>
      <c r="I1999" s="1" t="s">
        <v>12</v>
      </c>
      <c r="J1999" s="1" t="s">
        <v>40</v>
      </c>
      <c r="K1999" s="1" t="s">
        <v>14</v>
      </c>
      <c r="L1999" s="1" t="s">
        <v>12</v>
      </c>
      <c r="M1999" s="1" t="s">
        <v>12</v>
      </c>
      <c r="N1999" s="1">
        <v>33.18</v>
      </c>
      <c r="O1999" s="1" t="s">
        <v>27</v>
      </c>
      <c r="P1999" s="1" t="s">
        <v>37</v>
      </c>
      <c r="Q1999" s="1" t="s">
        <v>16</v>
      </c>
      <c r="R1999" s="1" t="str">
        <f>IF(N1999="","",VLOOKUP(N1999,Prior_levels,2,TRUE))</f>
        <v>H</v>
      </c>
    </row>
    <row r="2000" spans="1:18" x14ac:dyDescent="0.2">
      <c r="A2000" s="1" t="s">
        <v>222</v>
      </c>
      <c r="B2000" s="1" t="s">
        <v>12</v>
      </c>
      <c r="C2000" s="2">
        <v>41155</v>
      </c>
      <c r="D2000" s="1">
        <v>10</v>
      </c>
      <c r="E2000" s="1" t="s">
        <v>11</v>
      </c>
      <c r="H2000" s="1" t="s">
        <v>54</v>
      </c>
      <c r="I2000" s="1" t="s">
        <v>12</v>
      </c>
      <c r="J2000" s="1" t="s">
        <v>40</v>
      </c>
      <c r="K2000" s="1" t="s">
        <v>14</v>
      </c>
      <c r="L2000" s="1" t="s">
        <v>12</v>
      </c>
      <c r="M2000" s="1" t="s">
        <v>12</v>
      </c>
      <c r="N2000" s="1">
        <v>33.18</v>
      </c>
      <c r="O2000" s="1" t="s">
        <v>29</v>
      </c>
      <c r="P2000" s="1" t="s">
        <v>37</v>
      </c>
      <c r="Q2000" s="1" t="s">
        <v>16</v>
      </c>
      <c r="R2000" s="1" t="str">
        <f>IF(N2000="","",VLOOKUP(N2000,Prior_levels,2,TRUE))</f>
        <v>H</v>
      </c>
    </row>
    <row r="2001" spans="1:18" x14ac:dyDescent="0.2">
      <c r="A2001" s="1" t="s">
        <v>222</v>
      </c>
      <c r="B2001" s="1" t="s">
        <v>12</v>
      </c>
      <c r="C2001" s="2">
        <v>41155</v>
      </c>
      <c r="D2001" s="1">
        <v>10</v>
      </c>
      <c r="E2001" s="1" t="s">
        <v>11</v>
      </c>
      <c r="H2001" s="1" t="s">
        <v>54</v>
      </c>
      <c r="I2001" s="1" t="s">
        <v>12</v>
      </c>
      <c r="J2001" s="1" t="s">
        <v>40</v>
      </c>
      <c r="K2001" s="1" t="s">
        <v>14</v>
      </c>
      <c r="L2001" s="1" t="s">
        <v>12</v>
      </c>
      <c r="M2001" s="1" t="s">
        <v>12</v>
      </c>
      <c r="N2001" s="1">
        <v>33.18</v>
      </c>
      <c r="O2001" s="1" t="s">
        <v>30</v>
      </c>
      <c r="P2001" s="1" t="s">
        <v>37</v>
      </c>
      <c r="Q2001" s="1" t="s">
        <v>16</v>
      </c>
      <c r="R2001" s="1" t="str">
        <f>IF(N2001="","",VLOOKUP(N2001,Prior_levels,2,TRUE))</f>
        <v>H</v>
      </c>
    </row>
    <row r="2002" spans="1:18" x14ac:dyDescent="0.2">
      <c r="A2002" s="1" t="s">
        <v>222</v>
      </c>
      <c r="B2002" s="1" t="s">
        <v>12</v>
      </c>
      <c r="C2002" s="2">
        <v>41155</v>
      </c>
      <c r="D2002" s="1">
        <v>10</v>
      </c>
      <c r="E2002" s="1" t="s">
        <v>11</v>
      </c>
      <c r="H2002" s="1" t="s">
        <v>54</v>
      </c>
      <c r="I2002" s="1" t="s">
        <v>12</v>
      </c>
      <c r="J2002" s="1" t="s">
        <v>40</v>
      </c>
      <c r="K2002" s="1" t="s">
        <v>14</v>
      </c>
      <c r="L2002" s="1" t="s">
        <v>12</v>
      </c>
      <c r="M2002" s="1" t="s">
        <v>12</v>
      </c>
      <c r="N2002" s="1">
        <v>33.18</v>
      </c>
      <c r="O2002" s="1" t="s">
        <v>31</v>
      </c>
      <c r="P2002" s="1" t="s">
        <v>37</v>
      </c>
      <c r="Q2002" s="1" t="s">
        <v>16</v>
      </c>
      <c r="R2002" s="1" t="str">
        <f>IF(N2002="","",VLOOKUP(N2002,Prior_levels,2,TRUE))</f>
        <v>H</v>
      </c>
    </row>
    <row r="2003" spans="1:18" x14ac:dyDescent="0.2">
      <c r="A2003" s="1" t="s">
        <v>223</v>
      </c>
      <c r="B2003" s="1" t="s">
        <v>12</v>
      </c>
      <c r="C2003" s="2">
        <v>41155</v>
      </c>
      <c r="D2003" s="1">
        <v>10</v>
      </c>
      <c r="E2003" s="1" t="s">
        <v>47</v>
      </c>
      <c r="F2003" s="1" t="s">
        <v>224</v>
      </c>
      <c r="I2003" s="1" t="s">
        <v>12</v>
      </c>
      <c r="J2003" s="1" t="s">
        <v>13</v>
      </c>
      <c r="K2003" s="1" t="s">
        <v>14</v>
      </c>
      <c r="L2003" s="1" t="s">
        <v>12</v>
      </c>
      <c r="M2003" s="1" t="s">
        <v>12</v>
      </c>
      <c r="O2003" s="1" t="s">
        <v>29</v>
      </c>
      <c r="P2003" s="1" t="s">
        <v>28</v>
      </c>
      <c r="Q2003" s="1" t="s">
        <v>16</v>
      </c>
      <c r="R2003" s="1" t="str">
        <f>IF(N2003="","",VLOOKUP(N2003,Prior_levels,2,TRUE))</f>
        <v/>
      </c>
    </row>
    <row r="2004" spans="1:18" x14ac:dyDescent="0.2">
      <c r="A2004" s="1" t="s">
        <v>223</v>
      </c>
      <c r="B2004" s="1" t="s">
        <v>12</v>
      </c>
      <c r="C2004" s="2">
        <v>41155</v>
      </c>
      <c r="D2004" s="1">
        <v>10</v>
      </c>
      <c r="E2004" s="1" t="s">
        <v>47</v>
      </c>
      <c r="F2004" s="1" t="s">
        <v>224</v>
      </c>
      <c r="I2004" s="1" t="s">
        <v>12</v>
      </c>
      <c r="J2004" s="1" t="s">
        <v>13</v>
      </c>
      <c r="K2004" s="1" t="s">
        <v>14</v>
      </c>
      <c r="L2004" s="1" t="s">
        <v>12</v>
      </c>
      <c r="M2004" s="1" t="s">
        <v>12</v>
      </c>
      <c r="O2004" s="1" t="s">
        <v>30</v>
      </c>
      <c r="P2004" s="1" t="s">
        <v>28</v>
      </c>
      <c r="Q2004" s="1" t="s">
        <v>16</v>
      </c>
      <c r="R2004" s="1" t="str">
        <f>IF(N2004="","",VLOOKUP(N2004,Prior_levels,2,TRUE))</f>
        <v/>
      </c>
    </row>
    <row r="2005" spans="1:18" x14ac:dyDescent="0.2">
      <c r="A2005" s="1" t="s">
        <v>223</v>
      </c>
      <c r="B2005" s="1" t="s">
        <v>12</v>
      </c>
      <c r="C2005" s="2">
        <v>41155</v>
      </c>
      <c r="D2005" s="1">
        <v>10</v>
      </c>
      <c r="E2005" s="1" t="s">
        <v>47</v>
      </c>
      <c r="F2005" s="1" t="s">
        <v>224</v>
      </c>
      <c r="I2005" s="1" t="s">
        <v>12</v>
      </c>
      <c r="J2005" s="1" t="s">
        <v>13</v>
      </c>
      <c r="K2005" s="1" t="s">
        <v>14</v>
      </c>
      <c r="L2005" s="1" t="s">
        <v>12</v>
      </c>
      <c r="M2005" s="1" t="s">
        <v>12</v>
      </c>
      <c r="O2005" s="1" t="s">
        <v>31</v>
      </c>
      <c r="P2005" s="1" t="s">
        <v>28</v>
      </c>
      <c r="Q2005" s="1" t="s">
        <v>16</v>
      </c>
      <c r="R2005" s="1" t="str">
        <f>IF(N2005="","",VLOOKUP(N2005,Prior_levels,2,TRUE))</f>
        <v/>
      </c>
    </row>
    <row r="2006" spans="1:18" x14ac:dyDescent="0.2">
      <c r="A2006" s="1" t="s">
        <v>223</v>
      </c>
      <c r="B2006" s="1" t="s">
        <v>12</v>
      </c>
      <c r="C2006" s="2">
        <v>41155</v>
      </c>
      <c r="D2006" s="1">
        <v>10</v>
      </c>
      <c r="E2006" s="1" t="s">
        <v>47</v>
      </c>
      <c r="F2006" s="1" t="s">
        <v>224</v>
      </c>
      <c r="I2006" s="1" t="s">
        <v>12</v>
      </c>
      <c r="J2006" s="1" t="s">
        <v>13</v>
      </c>
      <c r="K2006" s="1" t="s">
        <v>14</v>
      </c>
      <c r="L2006" s="1" t="s">
        <v>12</v>
      </c>
      <c r="M2006" s="1" t="s">
        <v>12</v>
      </c>
      <c r="O2006" s="1" t="s">
        <v>32</v>
      </c>
      <c r="P2006" s="1" t="s">
        <v>28</v>
      </c>
      <c r="Q2006" s="1" t="s">
        <v>16</v>
      </c>
      <c r="R2006" s="1" t="str">
        <f>IF(N2006="","",VLOOKUP(N2006,Prior_levels,2,TRUE))</f>
        <v/>
      </c>
    </row>
    <row r="2007" spans="1:18" x14ac:dyDescent="0.2">
      <c r="A2007" s="1" t="s">
        <v>225</v>
      </c>
      <c r="B2007" s="1" t="s">
        <v>10</v>
      </c>
      <c r="C2007" s="2">
        <v>41155</v>
      </c>
      <c r="D2007" s="1">
        <v>10</v>
      </c>
      <c r="E2007" s="1" t="s">
        <v>11</v>
      </c>
      <c r="H2007" s="1" t="s">
        <v>54</v>
      </c>
      <c r="I2007" s="1" t="s">
        <v>12</v>
      </c>
      <c r="J2007" s="1" t="s">
        <v>156</v>
      </c>
      <c r="K2007" s="1" t="s">
        <v>157</v>
      </c>
      <c r="L2007" s="1" t="s">
        <v>12</v>
      </c>
      <c r="M2007" s="1" t="s">
        <v>12</v>
      </c>
      <c r="N2007" s="1">
        <v>21.12</v>
      </c>
      <c r="O2007" s="1" t="s">
        <v>15</v>
      </c>
      <c r="P2007" s="1">
        <v>3.3</v>
      </c>
      <c r="Q2007" s="1" t="s">
        <v>16</v>
      </c>
      <c r="R2007" s="1" t="str">
        <f>IF(N2007="","",VLOOKUP(N2007,Prior_levels,2,TRUE))</f>
        <v>L</v>
      </c>
    </row>
    <row r="2008" spans="1:18" x14ac:dyDescent="0.2">
      <c r="A2008" s="1" t="s">
        <v>225</v>
      </c>
      <c r="B2008" s="1" t="s">
        <v>10</v>
      </c>
      <c r="C2008" s="2">
        <v>41155</v>
      </c>
      <c r="D2008" s="1">
        <v>10</v>
      </c>
      <c r="E2008" s="1" t="s">
        <v>11</v>
      </c>
      <c r="H2008" s="1" t="s">
        <v>54</v>
      </c>
      <c r="I2008" s="1" t="s">
        <v>12</v>
      </c>
      <c r="J2008" s="1" t="s">
        <v>156</v>
      </c>
      <c r="K2008" s="1" t="s">
        <v>157</v>
      </c>
      <c r="L2008" s="1" t="s">
        <v>12</v>
      </c>
      <c r="M2008" s="1" t="s">
        <v>12</v>
      </c>
      <c r="N2008" s="1">
        <v>21.12</v>
      </c>
      <c r="O2008" s="1" t="s">
        <v>17</v>
      </c>
      <c r="P2008" s="1">
        <v>0.47</v>
      </c>
      <c r="Q2008" s="1" t="s">
        <v>16</v>
      </c>
      <c r="R2008" s="1" t="str">
        <f>IF(N2008="","",VLOOKUP(N2008,Prior_levels,2,TRUE))</f>
        <v>L</v>
      </c>
    </row>
    <row r="2009" spans="1:18" x14ac:dyDescent="0.2">
      <c r="A2009" s="1" t="s">
        <v>225</v>
      </c>
      <c r="B2009" s="1" t="s">
        <v>10</v>
      </c>
      <c r="C2009" s="2">
        <v>41155</v>
      </c>
      <c r="D2009" s="1">
        <v>10</v>
      </c>
      <c r="E2009" s="1" t="s">
        <v>11</v>
      </c>
      <c r="H2009" s="1" t="s">
        <v>54</v>
      </c>
      <c r="I2009" s="1" t="s">
        <v>12</v>
      </c>
      <c r="J2009" s="1" t="s">
        <v>156</v>
      </c>
      <c r="K2009" s="1" t="s">
        <v>157</v>
      </c>
      <c r="L2009" s="1" t="s">
        <v>12</v>
      </c>
      <c r="M2009" s="1" t="s">
        <v>12</v>
      </c>
      <c r="N2009" s="1">
        <v>21.12</v>
      </c>
      <c r="O2009" s="1" t="s">
        <v>18</v>
      </c>
      <c r="P2009" s="1">
        <v>8</v>
      </c>
      <c r="Q2009" s="1" t="s">
        <v>16</v>
      </c>
      <c r="R2009" s="1" t="str">
        <f>IF(N2009="","",VLOOKUP(N2009,Prior_levels,2,TRUE))</f>
        <v>L</v>
      </c>
    </row>
    <row r="2010" spans="1:18" x14ac:dyDescent="0.2">
      <c r="A2010" s="1" t="s">
        <v>225</v>
      </c>
      <c r="B2010" s="1" t="s">
        <v>10</v>
      </c>
      <c r="C2010" s="2">
        <v>41155</v>
      </c>
      <c r="D2010" s="1">
        <v>10</v>
      </c>
      <c r="E2010" s="1" t="s">
        <v>11</v>
      </c>
      <c r="H2010" s="1" t="s">
        <v>54</v>
      </c>
      <c r="I2010" s="1" t="s">
        <v>12</v>
      </c>
      <c r="J2010" s="1" t="s">
        <v>156</v>
      </c>
      <c r="K2010" s="1" t="s">
        <v>157</v>
      </c>
      <c r="L2010" s="1" t="s">
        <v>12</v>
      </c>
      <c r="M2010" s="1" t="s">
        <v>12</v>
      </c>
      <c r="N2010" s="1">
        <v>21.12</v>
      </c>
      <c r="O2010" s="1" t="s">
        <v>19</v>
      </c>
      <c r="P2010" s="1">
        <v>6</v>
      </c>
      <c r="Q2010" s="1" t="s">
        <v>16</v>
      </c>
      <c r="R2010" s="1" t="str">
        <f>IF(N2010="","",VLOOKUP(N2010,Prior_levels,2,TRUE))</f>
        <v>L</v>
      </c>
    </row>
    <row r="2011" spans="1:18" x14ac:dyDescent="0.2">
      <c r="A2011" s="1" t="s">
        <v>225</v>
      </c>
      <c r="B2011" s="1" t="s">
        <v>10</v>
      </c>
      <c r="C2011" s="2">
        <v>41155</v>
      </c>
      <c r="D2011" s="1">
        <v>10</v>
      </c>
      <c r="E2011" s="1" t="s">
        <v>11</v>
      </c>
      <c r="H2011" s="1" t="s">
        <v>54</v>
      </c>
      <c r="I2011" s="1" t="s">
        <v>12</v>
      </c>
      <c r="J2011" s="1" t="s">
        <v>156</v>
      </c>
      <c r="K2011" s="1" t="s">
        <v>157</v>
      </c>
      <c r="L2011" s="1" t="s">
        <v>12</v>
      </c>
      <c r="M2011" s="1" t="s">
        <v>12</v>
      </c>
      <c r="N2011" s="1">
        <v>21.12</v>
      </c>
      <c r="O2011" s="1" t="s">
        <v>20</v>
      </c>
      <c r="P2011" s="1">
        <v>8</v>
      </c>
      <c r="Q2011" s="1" t="s">
        <v>16</v>
      </c>
      <c r="R2011" s="1" t="str">
        <f>IF(N2011="","",VLOOKUP(N2011,Prior_levels,2,TRUE))</f>
        <v>L</v>
      </c>
    </row>
    <row r="2012" spans="1:18" x14ac:dyDescent="0.2">
      <c r="A2012" s="1" t="s">
        <v>225</v>
      </c>
      <c r="B2012" s="1" t="s">
        <v>10</v>
      </c>
      <c r="C2012" s="2">
        <v>41155</v>
      </c>
      <c r="D2012" s="1">
        <v>10</v>
      </c>
      <c r="E2012" s="1" t="s">
        <v>11</v>
      </c>
      <c r="H2012" s="1" t="s">
        <v>54</v>
      </c>
      <c r="I2012" s="1" t="s">
        <v>12</v>
      </c>
      <c r="J2012" s="1" t="s">
        <v>156</v>
      </c>
      <c r="K2012" s="1" t="s">
        <v>157</v>
      </c>
      <c r="L2012" s="1" t="s">
        <v>12</v>
      </c>
      <c r="M2012" s="1" t="s">
        <v>12</v>
      </c>
      <c r="N2012" s="1">
        <v>21.12</v>
      </c>
      <c r="O2012" s="1" t="s">
        <v>21</v>
      </c>
      <c r="P2012" s="1">
        <v>11</v>
      </c>
      <c r="Q2012" s="1" t="s">
        <v>16</v>
      </c>
      <c r="R2012" s="1" t="str">
        <f>IF(N2012="","",VLOOKUP(N2012,Prior_levels,2,TRUE))</f>
        <v>L</v>
      </c>
    </row>
    <row r="2013" spans="1:18" x14ac:dyDescent="0.2">
      <c r="A2013" s="1" t="s">
        <v>225</v>
      </c>
      <c r="B2013" s="1" t="s">
        <v>10</v>
      </c>
      <c r="C2013" s="2">
        <v>41155</v>
      </c>
      <c r="D2013" s="1">
        <v>10</v>
      </c>
      <c r="E2013" s="1" t="s">
        <v>11</v>
      </c>
      <c r="H2013" s="1" t="s">
        <v>54</v>
      </c>
      <c r="I2013" s="1" t="s">
        <v>12</v>
      </c>
      <c r="J2013" s="1" t="s">
        <v>156</v>
      </c>
      <c r="K2013" s="1" t="s">
        <v>157</v>
      </c>
      <c r="L2013" s="1" t="s">
        <v>12</v>
      </c>
      <c r="M2013" s="1" t="s">
        <v>12</v>
      </c>
      <c r="N2013" s="1">
        <v>21.12</v>
      </c>
      <c r="O2013" s="1" t="s">
        <v>22</v>
      </c>
      <c r="P2013" s="1">
        <v>0.34</v>
      </c>
      <c r="Q2013" s="1" t="s">
        <v>16</v>
      </c>
      <c r="R2013" s="1" t="str">
        <f>IF(N2013="","",VLOOKUP(N2013,Prior_levels,2,TRUE))</f>
        <v>L</v>
      </c>
    </row>
    <row r="2014" spans="1:18" x14ac:dyDescent="0.2">
      <c r="A2014" s="1" t="s">
        <v>225</v>
      </c>
      <c r="B2014" s="1" t="s">
        <v>10</v>
      </c>
      <c r="C2014" s="2">
        <v>41155</v>
      </c>
      <c r="D2014" s="1">
        <v>10</v>
      </c>
      <c r="E2014" s="1" t="s">
        <v>11</v>
      </c>
      <c r="H2014" s="1" t="s">
        <v>54</v>
      </c>
      <c r="I2014" s="1" t="s">
        <v>12</v>
      </c>
      <c r="J2014" s="1" t="s">
        <v>156</v>
      </c>
      <c r="K2014" s="1" t="s">
        <v>157</v>
      </c>
      <c r="L2014" s="1" t="s">
        <v>12</v>
      </c>
      <c r="M2014" s="1" t="s">
        <v>12</v>
      </c>
      <c r="N2014" s="1">
        <v>21.12</v>
      </c>
      <c r="O2014" s="1" t="s">
        <v>23</v>
      </c>
      <c r="P2014" s="1">
        <v>0.39</v>
      </c>
      <c r="Q2014" s="1" t="s">
        <v>16</v>
      </c>
      <c r="R2014" s="1" t="str">
        <f>IF(N2014="","",VLOOKUP(N2014,Prior_levels,2,TRUE))</f>
        <v>L</v>
      </c>
    </row>
    <row r="2015" spans="1:18" x14ac:dyDescent="0.2">
      <c r="A2015" s="1" t="s">
        <v>225</v>
      </c>
      <c r="B2015" s="1" t="s">
        <v>10</v>
      </c>
      <c r="C2015" s="2">
        <v>41155</v>
      </c>
      <c r="D2015" s="1">
        <v>10</v>
      </c>
      <c r="E2015" s="1" t="s">
        <v>11</v>
      </c>
      <c r="H2015" s="1" t="s">
        <v>54</v>
      </c>
      <c r="I2015" s="1" t="s">
        <v>12</v>
      </c>
      <c r="J2015" s="1" t="s">
        <v>156</v>
      </c>
      <c r="K2015" s="1" t="s">
        <v>157</v>
      </c>
      <c r="L2015" s="1" t="s">
        <v>12</v>
      </c>
      <c r="M2015" s="1" t="s">
        <v>12</v>
      </c>
      <c r="N2015" s="1">
        <v>21.12</v>
      </c>
      <c r="O2015" s="1" t="s">
        <v>24</v>
      </c>
      <c r="P2015" s="1">
        <v>3.49</v>
      </c>
      <c r="Q2015" s="1" t="s">
        <v>16</v>
      </c>
      <c r="R2015" s="1" t="str">
        <f>IF(N2015="","",VLOOKUP(N2015,Prior_levels,2,TRUE))</f>
        <v>L</v>
      </c>
    </row>
    <row r="2016" spans="1:18" x14ac:dyDescent="0.2">
      <c r="A2016" s="1" t="s">
        <v>225</v>
      </c>
      <c r="B2016" s="1" t="s">
        <v>10</v>
      </c>
      <c r="C2016" s="2">
        <v>41155</v>
      </c>
      <c r="D2016" s="1">
        <v>10</v>
      </c>
      <c r="E2016" s="1" t="s">
        <v>11</v>
      </c>
      <c r="H2016" s="1" t="s">
        <v>54</v>
      </c>
      <c r="I2016" s="1" t="s">
        <v>12</v>
      </c>
      <c r="J2016" s="1" t="s">
        <v>156</v>
      </c>
      <c r="K2016" s="1" t="s">
        <v>157</v>
      </c>
      <c r="L2016" s="1" t="s">
        <v>12</v>
      </c>
      <c r="M2016" s="1" t="s">
        <v>12</v>
      </c>
      <c r="N2016" s="1">
        <v>21.12</v>
      </c>
      <c r="O2016" s="1" t="s">
        <v>25</v>
      </c>
      <c r="P2016" s="1">
        <v>-0.2</v>
      </c>
      <c r="Q2016" s="1" t="s">
        <v>16</v>
      </c>
      <c r="R2016" s="1" t="str">
        <f>IF(N2016="","",VLOOKUP(N2016,Prior_levels,2,TRUE))</f>
        <v>L</v>
      </c>
    </row>
    <row r="2017" spans="1:18" x14ac:dyDescent="0.2">
      <c r="A2017" s="1" t="s">
        <v>225</v>
      </c>
      <c r="B2017" s="1" t="s">
        <v>10</v>
      </c>
      <c r="C2017" s="2">
        <v>41155</v>
      </c>
      <c r="D2017" s="1">
        <v>10</v>
      </c>
      <c r="E2017" s="1" t="s">
        <v>11</v>
      </c>
      <c r="H2017" s="1" t="s">
        <v>54</v>
      </c>
      <c r="I2017" s="1" t="s">
        <v>12</v>
      </c>
      <c r="J2017" s="1" t="s">
        <v>156</v>
      </c>
      <c r="K2017" s="1" t="s">
        <v>157</v>
      </c>
      <c r="L2017" s="1" t="s">
        <v>12</v>
      </c>
      <c r="M2017" s="1" t="s">
        <v>12</v>
      </c>
      <c r="N2017" s="1">
        <v>21.12</v>
      </c>
      <c r="O2017" s="1" t="s">
        <v>26</v>
      </c>
      <c r="P2017" s="1">
        <v>1</v>
      </c>
      <c r="Q2017" s="1" t="s">
        <v>16</v>
      </c>
      <c r="R2017" s="1" t="str">
        <f>IF(N2017="","",VLOOKUP(N2017,Prior_levels,2,TRUE))</f>
        <v>L</v>
      </c>
    </row>
    <row r="2018" spans="1:18" x14ac:dyDescent="0.2">
      <c r="A2018" s="1" t="s">
        <v>225</v>
      </c>
      <c r="B2018" s="1" t="s">
        <v>10</v>
      </c>
      <c r="C2018" s="2">
        <v>41155</v>
      </c>
      <c r="D2018" s="1">
        <v>10</v>
      </c>
      <c r="E2018" s="1" t="s">
        <v>11</v>
      </c>
      <c r="H2018" s="1" t="s">
        <v>54</v>
      </c>
      <c r="I2018" s="1" t="s">
        <v>12</v>
      </c>
      <c r="J2018" s="1" t="s">
        <v>156</v>
      </c>
      <c r="K2018" s="1" t="s">
        <v>157</v>
      </c>
      <c r="L2018" s="1" t="s">
        <v>12</v>
      </c>
      <c r="M2018" s="1" t="s">
        <v>12</v>
      </c>
      <c r="N2018" s="1">
        <v>21.12</v>
      </c>
      <c r="O2018" s="1" t="s">
        <v>27</v>
      </c>
      <c r="P2018" s="1" t="s">
        <v>28</v>
      </c>
      <c r="Q2018" s="1" t="s">
        <v>16</v>
      </c>
      <c r="R2018" s="1" t="str">
        <f>IF(N2018="","",VLOOKUP(N2018,Prior_levels,2,TRUE))</f>
        <v>L</v>
      </c>
    </row>
    <row r="2019" spans="1:18" x14ac:dyDescent="0.2">
      <c r="A2019" s="1" t="s">
        <v>225</v>
      </c>
      <c r="B2019" s="1" t="s">
        <v>10</v>
      </c>
      <c r="C2019" s="2">
        <v>41155</v>
      </c>
      <c r="D2019" s="1">
        <v>10</v>
      </c>
      <c r="E2019" s="1" t="s">
        <v>11</v>
      </c>
      <c r="H2019" s="1" t="s">
        <v>54</v>
      </c>
      <c r="I2019" s="1" t="s">
        <v>12</v>
      </c>
      <c r="J2019" s="1" t="s">
        <v>156</v>
      </c>
      <c r="K2019" s="1" t="s">
        <v>157</v>
      </c>
      <c r="L2019" s="1" t="s">
        <v>12</v>
      </c>
      <c r="M2019" s="1" t="s">
        <v>12</v>
      </c>
      <c r="N2019" s="1">
        <v>21.12</v>
      </c>
      <c r="O2019" s="1" t="s">
        <v>29</v>
      </c>
      <c r="P2019" s="1" t="s">
        <v>28</v>
      </c>
      <c r="Q2019" s="1" t="s">
        <v>16</v>
      </c>
      <c r="R2019" s="1" t="str">
        <f>IF(N2019="","",VLOOKUP(N2019,Prior_levels,2,TRUE))</f>
        <v>L</v>
      </c>
    </row>
    <row r="2020" spans="1:18" x14ac:dyDescent="0.2">
      <c r="A2020" s="1" t="s">
        <v>225</v>
      </c>
      <c r="B2020" s="1" t="s">
        <v>10</v>
      </c>
      <c r="C2020" s="2">
        <v>41155</v>
      </c>
      <c r="D2020" s="1">
        <v>10</v>
      </c>
      <c r="E2020" s="1" t="s">
        <v>11</v>
      </c>
      <c r="H2020" s="1" t="s">
        <v>54</v>
      </c>
      <c r="I2020" s="1" t="s">
        <v>12</v>
      </c>
      <c r="J2020" s="1" t="s">
        <v>156</v>
      </c>
      <c r="K2020" s="1" t="s">
        <v>157</v>
      </c>
      <c r="L2020" s="1" t="s">
        <v>12</v>
      </c>
      <c r="M2020" s="1" t="s">
        <v>12</v>
      </c>
      <c r="N2020" s="1">
        <v>21.12</v>
      </c>
      <c r="O2020" s="1" t="s">
        <v>30</v>
      </c>
      <c r="P2020" s="1" t="s">
        <v>28</v>
      </c>
      <c r="Q2020" s="1" t="s">
        <v>16</v>
      </c>
      <c r="R2020" s="1" t="str">
        <f>IF(N2020="","",VLOOKUP(N2020,Prior_levels,2,TRUE))</f>
        <v>L</v>
      </c>
    </row>
    <row r="2021" spans="1:18" x14ac:dyDescent="0.2">
      <c r="A2021" s="1" t="s">
        <v>225</v>
      </c>
      <c r="B2021" s="1" t="s">
        <v>10</v>
      </c>
      <c r="C2021" s="2">
        <v>41155</v>
      </c>
      <c r="D2021" s="1">
        <v>10</v>
      </c>
      <c r="E2021" s="1" t="s">
        <v>11</v>
      </c>
      <c r="H2021" s="1" t="s">
        <v>54</v>
      </c>
      <c r="I2021" s="1" t="s">
        <v>12</v>
      </c>
      <c r="J2021" s="1" t="s">
        <v>156</v>
      </c>
      <c r="K2021" s="1" t="s">
        <v>157</v>
      </c>
      <c r="L2021" s="1" t="s">
        <v>12</v>
      </c>
      <c r="M2021" s="1" t="s">
        <v>12</v>
      </c>
      <c r="N2021" s="1">
        <v>21.12</v>
      </c>
      <c r="O2021" s="1" t="s">
        <v>31</v>
      </c>
      <c r="P2021" s="1" t="s">
        <v>28</v>
      </c>
      <c r="Q2021" s="1" t="s">
        <v>16</v>
      </c>
      <c r="R2021" s="1" t="str">
        <f>IF(N2021="","",VLOOKUP(N2021,Prior_levels,2,TRUE))</f>
        <v>L</v>
      </c>
    </row>
    <row r="2022" spans="1:18" x14ac:dyDescent="0.2">
      <c r="A2022" s="1" t="s">
        <v>225</v>
      </c>
      <c r="B2022" s="1" t="s">
        <v>10</v>
      </c>
      <c r="C2022" s="2">
        <v>41155</v>
      </c>
      <c r="D2022" s="1">
        <v>10</v>
      </c>
      <c r="E2022" s="1" t="s">
        <v>11</v>
      </c>
      <c r="H2022" s="1" t="s">
        <v>54</v>
      </c>
      <c r="I2022" s="1" t="s">
        <v>12</v>
      </c>
      <c r="J2022" s="1" t="s">
        <v>156</v>
      </c>
      <c r="K2022" s="1" t="s">
        <v>157</v>
      </c>
      <c r="L2022" s="1" t="s">
        <v>12</v>
      </c>
      <c r="M2022" s="1" t="s">
        <v>12</v>
      </c>
      <c r="N2022" s="1">
        <v>21.12</v>
      </c>
      <c r="O2022" s="1" t="s">
        <v>32</v>
      </c>
      <c r="P2022" s="1" t="s">
        <v>28</v>
      </c>
      <c r="Q2022" s="1" t="s">
        <v>16</v>
      </c>
      <c r="R2022" s="1" t="str">
        <f>IF(N2022="","",VLOOKUP(N2022,Prior_levels,2,TRUE))</f>
        <v>L</v>
      </c>
    </row>
    <row r="2023" spans="1:18" x14ac:dyDescent="0.2">
      <c r="A2023" s="1" t="s">
        <v>226</v>
      </c>
      <c r="B2023" s="1" t="s">
        <v>10</v>
      </c>
      <c r="C2023" s="2">
        <v>41155</v>
      </c>
      <c r="D2023" s="1">
        <v>10</v>
      </c>
      <c r="E2023" s="1" t="s">
        <v>52</v>
      </c>
      <c r="H2023" s="1" t="s">
        <v>54</v>
      </c>
      <c r="I2023" s="1" t="s">
        <v>12</v>
      </c>
      <c r="J2023" s="1" t="s">
        <v>227</v>
      </c>
      <c r="K2023" s="1" t="s">
        <v>14</v>
      </c>
      <c r="L2023" s="1" t="s">
        <v>12</v>
      </c>
      <c r="M2023" s="1" t="s">
        <v>12</v>
      </c>
      <c r="N2023" s="1">
        <v>27.12</v>
      </c>
      <c r="O2023" s="1" t="s">
        <v>15</v>
      </c>
      <c r="P2023" s="1">
        <v>4.5</v>
      </c>
      <c r="Q2023" s="1" t="s">
        <v>16</v>
      </c>
      <c r="R2023" s="1" t="str">
        <f>IF(N2023="","",VLOOKUP(N2023,Prior_levels,2,TRUE))</f>
        <v>M</v>
      </c>
    </row>
    <row r="2024" spans="1:18" x14ac:dyDescent="0.2">
      <c r="A2024" s="1" t="s">
        <v>226</v>
      </c>
      <c r="B2024" s="1" t="s">
        <v>10</v>
      </c>
      <c r="C2024" s="2">
        <v>41155</v>
      </c>
      <c r="D2024" s="1">
        <v>10</v>
      </c>
      <c r="E2024" s="1" t="s">
        <v>52</v>
      </c>
      <c r="H2024" s="1" t="s">
        <v>54</v>
      </c>
      <c r="I2024" s="1" t="s">
        <v>12</v>
      </c>
      <c r="J2024" s="1" t="s">
        <v>227</v>
      </c>
      <c r="K2024" s="1" t="s">
        <v>14</v>
      </c>
      <c r="L2024" s="1" t="s">
        <v>12</v>
      </c>
      <c r="M2024" s="1" t="s">
        <v>12</v>
      </c>
      <c r="N2024" s="1">
        <v>27.12</v>
      </c>
      <c r="O2024" s="1" t="s">
        <v>17</v>
      </c>
      <c r="P2024" s="1">
        <v>-0.05</v>
      </c>
      <c r="Q2024" s="1" t="s">
        <v>16</v>
      </c>
      <c r="R2024" s="1" t="str">
        <f>IF(N2024="","",VLOOKUP(N2024,Prior_levels,2,TRUE))</f>
        <v>M</v>
      </c>
    </row>
    <row r="2025" spans="1:18" x14ac:dyDescent="0.2">
      <c r="A2025" s="1" t="s">
        <v>226</v>
      </c>
      <c r="B2025" s="1" t="s">
        <v>10</v>
      </c>
      <c r="C2025" s="2">
        <v>41155</v>
      </c>
      <c r="D2025" s="1">
        <v>10</v>
      </c>
      <c r="E2025" s="1" t="s">
        <v>52</v>
      </c>
      <c r="H2025" s="1" t="s">
        <v>54</v>
      </c>
      <c r="I2025" s="1" t="s">
        <v>12</v>
      </c>
      <c r="J2025" s="1" t="s">
        <v>227</v>
      </c>
      <c r="K2025" s="1" t="s">
        <v>14</v>
      </c>
      <c r="L2025" s="1" t="s">
        <v>12</v>
      </c>
      <c r="M2025" s="1" t="s">
        <v>12</v>
      </c>
      <c r="N2025" s="1">
        <v>27.12</v>
      </c>
      <c r="O2025" s="1" t="s">
        <v>18</v>
      </c>
      <c r="P2025" s="1">
        <v>10</v>
      </c>
      <c r="Q2025" s="1" t="s">
        <v>16</v>
      </c>
      <c r="R2025" s="1" t="str">
        <f>IF(N2025="","",VLOOKUP(N2025,Prior_levels,2,TRUE))</f>
        <v>M</v>
      </c>
    </row>
    <row r="2026" spans="1:18" x14ac:dyDescent="0.2">
      <c r="A2026" s="1" t="s">
        <v>226</v>
      </c>
      <c r="B2026" s="1" t="s">
        <v>10</v>
      </c>
      <c r="C2026" s="2">
        <v>41155</v>
      </c>
      <c r="D2026" s="1">
        <v>10</v>
      </c>
      <c r="E2026" s="1" t="s">
        <v>52</v>
      </c>
      <c r="H2026" s="1" t="s">
        <v>54</v>
      </c>
      <c r="I2026" s="1" t="s">
        <v>12</v>
      </c>
      <c r="J2026" s="1" t="s">
        <v>227</v>
      </c>
      <c r="K2026" s="1" t="s">
        <v>14</v>
      </c>
      <c r="L2026" s="1" t="s">
        <v>12</v>
      </c>
      <c r="M2026" s="1" t="s">
        <v>12</v>
      </c>
      <c r="N2026" s="1">
        <v>27.12</v>
      </c>
      <c r="O2026" s="1" t="s">
        <v>19</v>
      </c>
      <c r="P2026" s="1">
        <v>10</v>
      </c>
      <c r="Q2026" s="1" t="s">
        <v>16</v>
      </c>
      <c r="R2026" s="1" t="str">
        <f>IF(N2026="","",VLOOKUP(N2026,Prior_levels,2,TRUE))</f>
        <v>M</v>
      </c>
    </row>
    <row r="2027" spans="1:18" x14ac:dyDescent="0.2">
      <c r="A2027" s="1" t="s">
        <v>226</v>
      </c>
      <c r="B2027" s="1" t="s">
        <v>10</v>
      </c>
      <c r="C2027" s="2">
        <v>41155</v>
      </c>
      <c r="D2027" s="1">
        <v>10</v>
      </c>
      <c r="E2027" s="1" t="s">
        <v>52</v>
      </c>
      <c r="H2027" s="1" t="s">
        <v>54</v>
      </c>
      <c r="I2027" s="1" t="s">
        <v>12</v>
      </c>
      <c r="J2027" s="1" t="s">
        <v>227</v>
      </c>
      <c r="K2027" s="1" t="s">
        <v>14</v>
      </c>
      <c r="L2027" s="1" t="s">
        <v>12</v>
      </c>
      <c r="M2027" s="1" t="s">
        <v>12</v>
      </c>
      <c r="N2027" s="1">
        <v>27.12</v>
      </c>
      <c r="O2027" s="1" t="s">
        <v>20</v>
      </c>
      <c r="P2027" s="1">
        <v>12</v>
      </c>
      <c r="Q2027" s="1" t="s">
        <v>16</v>
      </c>
      <c r="R2027" s="1" t="str">
        <f>IF(N2027="","",VLOOKUP(N2027,Prior_levels,2,TRUE))</f>
        <v>M</v>
      </c>
    </row>
    <row r="2028" spans="1:18" x14ac:dyDescent="0.2">
      <c r="A2028" s="1" t="s">
        <v>226</v>
      </c>
      <c r="B2028" s="1" t="s">
        <v>10</v>
      </c>
      <c r="C2028" s="2">
        <v>41155</v>
      </c>
      <c r="D2028" s="1">
        <v>10</v>
      </c>
      <c r="E2028" s="1" t="s">
        <v>52</v>
      </c>
      <c r="H2028" s="1" t="s">
        <v>54</v>
      </c>
      <c r="I2028" s="1" t="s">
        <v>12</v>
      </c>
      <c r="J2028" s="1" t="s">
        <v>227</v>
      </c>
      <c r="K2028" s="1" t="s">
        <v>14</v>
      </c>
      <c r="L2028" s="1" t="s">
        <v>12</v>
      </c>
      <c r="M2028" s="1" t="s">
        <v>12</v>
      </c>
      <c r="N2028" s="1">
        <v>27.12</v>
      </c>
      <c r="O2028" s="1" t="s">
        <v>21</v>
      </c>
      <c r="P2028" s="1">
        <v>13</v>
      </c>
      <c r="Q2028" s="1" t="s">
        <v>16</v>
      </c>
      <c r="R2028" s="1" t="str">
        <f>IF(N2028="","",VLOOKUP(N2028,Prior_levels,2,TRUE))</f>
        <v>M</v>
      </c>
    </row>
    <row r="2029" spans="1:18" x14ac:dyDescent="0.2">
      <c r="A2029" s="1" t="s">
        <v>226</v>
      </c>
      <c r="B2029" s="1" t="s">
        <v>10</v>
      </c>
      <c r="C2029" s="2">
        <v>41155</v>
      </c>
      <c r="D2029" s="1">
        <v>10</v>
      </c>
      <c r="E2029" s="1" t="s">
        <v>52</v>
      </c>
      <c r="H2029" s="1" t="s">
        <v>54</v>
      </c>
      <c r="I2029" s="1" t="s">
        <v>12</v>
      </c>
      <c r="J2029" s="1" t="s">
        <v>227</v>
      </c>
      <c r="K2029" s="1" t="s">
        <v>14</v>
      </c>
      <c r="L2029" s="1" t="s">
        <v>12</v>
      </c>
      <c r="M2029" s="1" t="s">
        <v>12</v>
      </c>
      <c r="N2029" s="1">
        <v>27.12</v>
      </c>
      <c r="O2029" s="1" t="s">
        <v>22</v>
      </c>
      <c r="P2029" s="1">
        <v>-0.05</v>
      </c>
      <c r="Q2029" s="1" t="s">
        <v>16</v>
      </c>
      <c r="R2029" s="1" t="str">
        <f>IF(N2029="","",VLOOKUP(N2029,Prior_levels,2,TRUE))</f>
        <v>M</v>
      </c>
    </row>
    <row r="2030" spans="1:18" x14ac:dyDescent="0.2">
      <c r="A2030" s="1" t="s">
        <v>226</v>
      </c>
      <c r="B2030" s="1" t="s">
        <v>10</v>
      </c>
      <c r="C2030" s="2">
        <v>41155</v>
      </c>
      <c r="D2030" s="1">
        <v>10</v>
      </c>
      <c r="E2030" s="1" t="s">
        <v>52</v>
      </c>
      <c r="H2030" s="1" t="s">
        <v>54</v>
      </c>
      <c r="I2030" s="1" t="s">
        <v>12</v>
      </c>
      <c r="J2030" s="1" t="s">
        <v>227</v>
      </c>
      <c r="K2030" s="1" t="s">
        <v>14</v>
      </c>
      <c r="L2030" s="1" t="s">
        <v>12</v>
      </c>
      <c r="M2030" s="1" t="s">
        <v>12</v>
      </c>
      <c r="N2030" s="1">
        <v>27.12</v>
      </c>
      <c r="O2030" s="1" t="s">
        <v>23</v>
      </c>
      <c r="P2030" s="1">
        <v>0.36</v>
      </c>
      <c r="Q2030" s="1" t="s">
        <v>16</v>
      </c>
      <c r="R2030" s="1" t="str">
        <f>IF(N2030="","",VLOOKUP(N2030,Prior_levels,2,TRUE))</f>
        <v>M</v>
      </c>
    </row>
    <row r="2031" spans="1:18" x14ac:dyDescent="0.2">
      <c r="A2031" s="1" t="s">
        <v>226</v>
      </c>
      <c r="B2031" s="1" t="s">
        <v>10</v>
      </c>
      <c r="C2031" s="2">
        <v>41155</v>
      </c>
      <c r="D2031" s="1">
        <v>10</v>
      </c>
      <c r="E2031" s="1" t="s">
        <v>52</v>
      </c>
      <c r="H2031" s="1" t="s">
        <v>54</v>
      </c>
      <c r="I2031" s="1" t="s">
        <v>12</v>
      </c>
      <c r="J2031" s="1" t="s">
        <v>227</v>
      </c>
      <c r="K2031" s="1" t="s">
        <v>14</v>
      </c>
      <c r="L2031" s="1" t="s">
        <v>12</v>
      </c>
      <c r="M2031" s="1" t="s">
        <v>12</v>
      </c>
      <c r="N2031" s="1">
        <v>27.12</v>
      </c>
      <c r="O2031" s="1" t="s">
        <v>25</v>
      </c>
      <c r="P2031" s="1">
        <v>-1.89</v>
      </c>
      <c r="Q2031" s="1" t="s">
        <v>16</v>
      </c>
      <c r="R2031" s="1" t="str">
        <f>IF(N2031="","",VLOOKUP(N2031,Prior_levels,2,TRUE))</f>
        <v>M</v>
      </c>
    </row>
    <row r="2032" spans="1:18" x14ac:dyDescent="0.2">
      <c r="A2032" s="1" t="s">
        <v>226</v>
      </c>
      <c r="B2032" s="1" t="s">
        <v>10</v>
      </c>
      <c r="C2032" s="2">
        <v>41155</v>
      </c>
      <c r="D2032" s="1">
        <v>10</v>
      </c>
      <c r="E2032" s="1" t="s">
        <v>52</v>
      </c>
      <c r="H2032" s="1" t="s">
        <v>54</v>
      </c>
      <c r="I2032" s="1" t="s">
        <v>12</v>
      </c>
      <c r="J2032" s="1" t="s">
        <v>227</v>
      </c>
      <c r="K2032" s="1" t="s">
        <v>14</v>
      </c>
      <c r="L2032" s="1" t="s">
        <v>12</v>
      </c>
      <c r="M2032" s="1" t="s">
        <v>12</v>
      </c>
      <c r="N2032" s="1">
        <v>27.12</v>
      </c>
      <c r="O2032" s="1" t="s">
        <v>26</v>
      </c>
      <c r="P2032" s="1">
        <v>10</v>
      </c>
      <c r="Q2032" s="1" t="s">
        <v>16</v>
      </c>
      <c r="R2032" s="1" t="str">
        <f>IF(N2032="","",VLOOKUP(N2032,Prior_levels,2,TRUE))</f>
        <v>M</v>
      </c>
    </row>
    <row r="2033" spans="1:18" x14ac:dyDescent="0.2">
      <c r="A2033" s="1" t="s">
        <v>226</v>
      </c>
      <c r="B2033" s="1" t="s">
        <v>10</v>
      </c>
      <c r="C2033" s="2">
        <v>41155</v>
      </c>
      <c r="D2033" s="1">
        <v>10</v>
      </c>
      <c r="E2033" s="1" t="s">
        <v>52</v>
      </c>
      <c r="H2033" s="1" t="s">
        <v>54</v>
      </c>
      <c r="I2033" s="1" t="s">
        <v>12</v>
      </c>
      <c r="J2033" s="1" t="s">
        <v>227</v>
      </c>
      <c r="K2033" s="1" t="s">
        <v>14</v>
      </c>
      <c r="L2033" s="1" t="s">
        <v>12</v>
      </c>
      <c r="M2033" s="1" t="s">
        <v>12</v>
      </c>
      <c r="N2033" s="1">
        <v>27.12</v>
      </c>
      <c r="O2033" s="1" t="s">
        <v>24</v>
      </c>
      <c r="P2033" s="1">
        <v>0.75</v>
      </c>
      <c r="Q2033" s="1" t="s">
        <v>16</v>
      </c>
      <c r="R2033" s="1" t="str">
        <f>IF(N2033="","",VLOOKUP(N2033,Prior_levels,2,TRUE))</f>
        <v>M</v>
      </c>
    </row>
    <row r="2034" spans="1:18" x14ac:dyDescent="0.2">
      <c r="A2034" s="1" t="s">
        <v>226</v>
      </c>
      <c r="B2034" s="1" t="s">
        <v>10</v>
      </c>
      <c r="C2034" s="2">
        <v>41155</v>
      </c>
      <c r="D2034" s="1">
        <v>10</v>
      </c>
      <c r="E2034" s="1" t="s">
        <v>52</v>
      </c>
      <c r="H2034" s="1" t="s">
        <v>54</v>
      </c>
      <c r="I2034" s="1" t="s">
        <v>12</v>
      </c>
      <c r="J2034" s="1" t="s">
        <v>227</v>
      </c>
      <c r="K2034" s="1" t="s">
        <v>14</v>
      </c>
      <c r="L2034" s="1" t="s">
        <v>12</v>
      </c>
      <c r="M2034" s="1" t="s">
        <v>12</v>
      </c>
      <c r="N2034" s="1">
        <v>27.12</v>
      </c>
      <c r="O2034" s="1" t="s">
        <v>32</v>
      </c>
      <c r="P2034" s="1" t="s">
        <v>37</v>
      </c>
      <c r="Q2034" s="1" t="s">
        <v>16</v>
      </c>
      <c r="R2034" s="1" t="str">
        <f>IF(N2034="","",VLOOKUP(N2034,Prior_levels,2,TRUE))</f>
        <v>M</v>
      </c>
    </row>
    <row r="2035" spans="1:18" x14ac:dyDescent="0.2">
      <c r="A2035" s="1" t="s">
        <v>226</v>
      </c>
      <c r="B2035" s="1" t="s">
        <v>10</v>
      </c>
      <c r="C2035" s="2">
        <v>41155</v>
      </c>
      <c r="D2035" s="1">
        <v>10</v>
      </c>
      <c r="E2035" s="1" t="s">
        <v>52</v>
      </c>
      <c r="H2035" s="1" t="s">
        <v>54</v>
      </c>
      <c r="I2035" s="1" t="s">
        <v>12</v>
      </c>
      <c r="J2035" s="1" t="s">
        <v>227</v>
      </c>
      <c r="K2035" s="1" t="s">
        <v>14</v>
      </c>
      <c r="L2035" s="1" t="s">
        <v>12</v>
      </c>
      <c r="M2035" s="1" t="s">
        <v>12</v>
      </c>
      <c r="N2035" s="1">
        <v>27.12</v>
      </c>
      <c r="O2035" s="1" t="s">
        <v>27</v>
      </c>
      <c r="P2035" s="1" t="s">
        <v>37</v>
      </c>
      <c r="Q2035" s="1" t="s">
        <v>16</v>
      </c>
      <c r="R2035" s="1" t="str">
        <f>IF(N2035="","",VLOOKUP(N2035,Prior_levels,2,TRUE))</f>
        <v>M</v>
      </c>
    </row>
    <row r="2036" spans="1:18" x14ac:dyDescent="0.2">
      <c r="A2036" s="1" t="s">
        <v>226</v>
      </c>
      <c r="B2036" s="1" t="s">
        <v>10</v>
      </c>
      <c r="C2036" s="2">
        <v>41155</v>
      </c>
      <c r="D2036" s="1">
        <v>10</v>
      </c>
      <c r="E2036" s="1" t="s">
        <v>52</v>
      </c>
      <c r="H2036" s="1" t="s">
        <v>54</v>
      </c>
      <c r="I2036" s="1" t="s">
        <v>12</v>
      </c>
      <c r="J2036" s="1" t="s">
        <v>227</v>
      </c>
      <c r="K2036" s="1" t="s">
        <v>14</v>
      </c>
      <c r="L2036" s="1" t="s">
        <v>12</v>
      </c>
      <c r="M2036" s="1" t="s">
        <v>12</v>
      </c>
      <c r="N2036" s="1">
        <v>27.12</v>
      </c>
      <c r="O2036" s="1" t="s">
        <v>29</v>
      </c>
      <c r="P2036" s="1" t="s">
        <v>37</v>
      </c>
      <c r="Q2036" s="1" t="s">
        <v>16</v>
      </c>
      <c r="R2036" s="1" t="str">
        <f>IF(N2036="","",VLOOKUP(N2036,Prior_levels,2,TRUE))</f>
        <v>M</v>
      </c>
    </row>
    <row r="2037" spans="1:18" x14ac:dyDescent="0.2">
      <c r="A2037" s="1" t="s">
        <v>226</v>
      </c>
      <c r="B2037" s="1" t="s">
        <v>10</v>
      </c>
      <c r="C2037" s="2">
        <v>41155</v>
      </c>
      <c r="D2037" s="1">
        <v>10</v>
      </c>
      <c r="E2037" s="1" t="s">
        <v>52</v>
      </c>
      <c r="H2037" s="1" t="s">
        <v>54</v>
      </c>
      <c r="I2037" s="1" t="s">
        <v>12</v>
      </c>
      <c r="J2037" s="1" t="s">
        <v>227</v>
      </c>
      <c r="K2037" s="1" t="s">
        <v>14</v>
      </c>
      <c r="L2037" s="1" t="s">
        <v>12</v>
      </c>
      <c r="M2037" s="1" t="s">
        <v>12</v>
      </c>
      <c r="N2037" s="1">
        <v>27.12</v>
      </c>
      <c r="O2037" s="1" t="s">
        <v>30</v>
      </c>
      <c r="P2037" s="1" t="s">
        <v>37</v>
      </c>
      <c r="Q2037" s="1" t="s">
        <v>16</v>
      </c>
      <c r="R2037" s="1" t="str">
        <f>IF(N2037="","",VLOOKUP(N2037,Prior_levels,2,TRUE))</f>
        <v>M</v>
      </c>
    </row>
    <row r="2038" spans="1:18" x14ac:dyDescent="0.2">
      <c r="A2038" s="1" t="s">
        <v>226</v>
      </c>
      <c r="B2038" s="1" t="s">
        <v>10</v>
      </c>
      <c r="C2038" s="2">
        <v>41155</v>
      </c>
      <c r="D2038" s="1">
        <v>10</v>
      </c>
      <c r="E2038" s="1" t="s">
        <v>52</v>
      </c>
      <c r="H2038" s="1" t="s">
        <v>54</v>
      </c>
      <c r="I2038" s="1" t="s">
        <v>12</v>
      </c>
      <c r="J2038" s="1" t="s">
        <v>227</v>
      </c>
      <c r="K2038" s="1" t="s">
        <v>14</v>
      </c>
      <c r="L2038" s="1" t="s">
        <v>12</v>
      </c>
      <c r="M2038" s="1" t="s">
        <v>12</v>
      </c>
      <c r="N2038" s="1">
        <v>27.12</v>
      </c>
      <c r="O2038" s="1" t="s">
        <v>31</v>
      </c>
      <c r="P2038" s="1" t="s">
        <v>37</v>
      </c>
      <c r="Q2038" s="1" t="s">
        <v>16</v>
      </c>
      <c r="R2038" s="1" t="str">
        <f>IF(N2038="","",VLOOKUP(N2038,Prior_levels,2,TRUE))</f>
        <v>M</v>
      </c>
    </row>
    <row r="2039" spans="1:18" x14ac:dyDescent="0.2">
      <c r="A2039" s="1" t="s">
        <v>228</v>
      </c>
      <c r="B2039" s="1" t="s">
        <v>12</v>
      </c>
      <c r="C2039" s="2">
        <v>41155</v>
      </c>
      <c r="D2039" s="1">
        <v>10</v>
      </c>
      <c r="E2039" s="1" t="s">
        <v>39</v>
      </c>
      <c r="H2039" s="1" t="s">
        <v>54</v>
      </c>
      <c r="I2039" s="1" t="s">
        <v>12</v>
      </c>
      <c r="J2039" s="1" t="s">
        <v>156</v>
      </c>
      <c r="K2039" s="1" t="s">
        <v>14</v>
      </c>
      <c r="L2039" s="1" t="s">
        <v>12</v>
      </c>
      <c r="M2039" s="1" t="s">
        <v>12</v>
      </c>
      <c r="N2039" s="1">
        <v>21.12</v>
      </c>
      <c r="O2039" s="1" t="s">
        <v>15</v>
      </c>
      <c r="P2039" s="1">
        <v>2.95</v>
      </c>
      <c r="Q2039" s="1" t="s">
        <v>16</v>
      </c>
      <c r="R2039" s="1" t="str">
        <f>IF(N2039="","",VLOOKUP(N2039,Prior_levels,2,TRUE))</f>
        <v>L</v>
      </c>
    </row>
    <row r="2040" spans="1:18" x14ac:dyDescent="0.2">
      <c r="A2040" s="1" t="s">
        <v>228</v>
      </c>
      <c r="B2040" s="1" t="s">
        <v>12</v>
      </c>
      <c r="C2040" s="2">
        <v>41155</v>
      </c>
      <c r="D2040" s="1">
        <v>10</v>
      </c>
      <c r="E2040" s="1" t="s">
        <v>39</v>
      </c>
      <c r="H2040" s="1" t="s">
        <v>54</v>
      </c>
      <c r="I2040" s="1" t="s">
        <v>12</v>
      </c>
      <c r="J2040" s="1" t="s">
        <v>156</v>
      </c>
      <c r="K2040" s="1" t="s">
        <v>14</v>
      </c>
      <c r="L2040" s="1" t="s">
        <v>12</v>
      </c>
      <c r="M2040" s="1" t="s">
        <v>12</v>
      </c>
      <c r="N2040" s="1">
        <v>21.12</v>
      </c>
      <c r="O2040" s="1" t="s">
        <v>17</v>
      </c>
      <c r="P2040" s="1">
        <v>0.12</v>
      </c>
      <c r="Q2040" s="1" t="s">
        <v>16</v>
      </c>
      <c r="R2040" s="1" t="str">
        <f>IF(N2040="","",VLOOKUP(N2040,Prior_levels,2,TRUE))</f>
        <v>L</v>
      </c>
    </row>
    <row r="2041" spans="1:18" x14ac:dyDescent="0.2">
      <c r="A2041" s="1" t="s">
        <v>228</v>
      </c>
      <c r="B2041" s="1" t="s">
        <v>12</v>
      </c>
      <c r="C2041" s="2">
        <v>41155</v>
      </c>
      <c r="D2041" s="1">
        <v>10</v>
      </c>
      <c r="E2041" s="1" t="s">
        <v>39</v>
      </c>
      <c r="H2041" s="1" t="s">
        <v>54</v>
      </c>
      <c r="I2041" s="1" t="s">
        <v>12</v>
      </c>
      <c r="J2041" s="1" t="s">
        <v>156</v>
      </c>
      <c r="K2041" s="1" t="s">
        <v>14</v>
      </c>
      <c r="L2041" s="1" t="s">
        <v>12</v>
      </c>
      <c r="M2041" s="1" t="s">
        <v>12</v>
      </c>
      <c r="N2041" s="1">
        <v>21.12</v>
      </c>
      <c r="O2041" s="1" t="s">
        <v>18</v>
      </c>
      <c r="P2041" s="1">
        <v>8</v>
      </c>
      <c r="Q2041" s="1" t="s">
        <v>16</v>
      </c>
      <c r="R2041" s="1" t="str">
        <f>IF(N2041="","",VLOOKUP(N2041,Prior_levels,2,TRUE))</f>
        <v>L</v>
      </c>
    </row>
    <row r="2042" spans="1:18" x14ac:dyDescent="0.2">
      <c r="A2042" s="1" t="s">
        <v>228</v>
      </c>
      <c r="B2042" s="1" t="s">
        <v>12</v>
      </c>
      <c r="C2042" s="2">
        <v>41155</v>
      </c>
      <c r="D2042" s="1">
        <v>10</v>
      </c>
      <c r="E2042" s="1" t="s">
        <v>39</v>
      </c>
      <c r="H2042" s="1" t="s">
        <v>54</v>
      </c>
      <c r="I2042" s="1" t="s">
        <v>12</v>
      </c>
      <c r="J2042" s="1" t="s">
        <v>156</v>
      </c>
      <c r="K2042" s="1" t="s">
        <v>14</v>
      </c>
      <c r="L2042" s="1" t="s">
        <v>12</v>
      </c>
      <c r="M2042" s="1" t="s">
        <v>12</v>
      </c>
      <c r="N2042" s="1">
        <v>21.12</v>
      </c>
      <c r="O2042" s="1" t="s">
        <v>19</v>
      </c>
      <c r="P2042" s="1">
        <v>4</v>
      </c>
      <c r="Q2042" s="1" t="s">
        <v>16</v>
      </c>
      <c r="R2042" s="1" t="str">
        <f>IF(N2042="","",VLOOKUP(N2042,Prior_levels,2,TRUE))</f>
        <v>L</v>
      </c>
    </row>
    <row r="2043" spans="1:18" x14ac:dyDescent="0.2">
      <c r="A2043" s="1" t="s">
        <v>228</v>
      </c>
      <c r="B2043" s="1" t="s">
        <v>12</v>
      </c>
      <c r="C2043" s="2">
        <v>41155</v>
      </c>
      <c r="D2043" s="1">
        <v>10</v>
      </c>
      <c r="E2043" s="1" t="s">
        <v>39</v>
      </c>
      <c r="H2043" s="1" t="s">
        <v>54</v>
      </c>
      <c r="I2043" s="1" t="s">
        <v>12</v>
      </c>
      <c r="J2043" s="1" t="s">
        <v>156</v>
      </c>
      <c r="K2043" s="1" t="s">
        <v>14</v>
      </c>
      <c r="L2043" s="1" t="s">
        <v>12</v>
      </c>
      <c r="M2043" s="1" t="s">
        <v>12</v>
      </c>
      <c r="N2043" s="1">
        <v>21.12</v>
      </c>
      <c r="O2043" s="1" t="s">
        <v>20</v>
      </c>
      <c r="P2043" s="1">
        <v>7.5</v>
      </c>
      <c r="Q2043" s="1" t="s">
        <v>16</v>
      </c>
      <c r="R2043" s="1" t="str">
        <f>IF(N2043="","",VLOOKUP(N2043,Prior_levels,2,TRUE))</f>
        <v>L</v>
      </c>
    </row>
    <row r="2044" spans="1:18" x14ac:dyDescent="0.2">
      <c r="A2044" s="1" t="s">
        <v>228</v>
      </c>
      <c r="B2044" s="1" t="s">
        <v>12</v>
      </c>
      <c r="C2044" s="2">
        <v>41155</v>
      </c>
      <c r="D2044" s="1">
        <v>10</v>
      </c>
      <c r="E2044" s="1" t="s">
        <v>39</v>
      </c>
      <c r="H2044" s="1" t="s">
        <v>54</v>
      </c>
      <c r="I2044" s="1" t="s">
        <v>12</v>
      </c>
      <c r="J2044" s="1" t="s">
        <v>156</v>
      </c>
      <c r="K2044" s="1" t="s">
        <v>14</v>
      </c>
      <c r="L2044" s="1" t="s">
        <v>12</v>
      </c>
      <c r="M2044" s="1" t="s">
        <v>12</v>
      </c>
      <c r="N2044" s="1">
        <v>21.12</v>
      </c>
      <c r="O2044" s="1" t="s">
        <v>21</v>
      </c>
      <c r="P2044" s="1">
        <v>10</v>
      </c>
      <c r="Q2044" s="1" t="s">
        <v>16</v>
      </c>
      <c r="R2044" s="1" t="str">
        <f>IF(N2044="","",VLOOKUP(N2044,Prior_levels,2,TRUE))</f>
        <v>L</v>
      </c>
    </row>
    <row r="2045" spans="1:18" x14ac:dyDescent="0.2">
      <c r="A2045" s="1" t="s">
        <v>228</v>
      </c>
      <c r="B2045" s="1" t="s">
        <v>12</v>
      </c>
      <c r="C2045" s="2">
        <v>41155</v>
      </c>
      <c r="D2045" s="1">
        <v>10</v>
      </c>
      <c r="E2045" s="1" t="s">
        <v>39</v>
      </c>
      <c r="H2045" s="1" t="s">
        <v>54</v>
      </c>
      <c r="I2045" s="1" t="s">
        <v>12</v>
      </c>
      <c r="J2045" s="1" t="s">
        <v>156</v>
      </c>
      <c r="K2045" s="1" t="s">
        <v>14</v>
      </c>
      <c r="L2045" s="1" t="s">
        <v>12</v>
      </c>
      <c r="M2045" s="1" t="s">
        <v>12</v>
      </c>
      <c r="N2045" s="1">
        <v>21.12</v>
      </c>
      <c r="O2045" s="1" t="s">
        <v>22</v>
      </c>
      <c r="P2045" s="1">
        <v>0.34</v>
      </c>
      <c r="Q2045" s="1" t="s">
        <v>16</v>
      </c>
      <c r="R2045" s="1" t="str">
        <f>IF(N2045="","",VLOOKUP(N2045,Prior_levels,2,TRUE))</f>
        <v>L</v>
      </c>
    </row>
    <row r="2046" spans="1:18" x14ac:dyDescent="0.2">
      <c r="A2046" s="1" t="s">
        <v>228</v>
      </c>
      <c r="B2046" s="1" t="s">
        <v>12</v>
      </c>
      <c r="C2046" s="2">
        <v>41155</v>
      </c>
      <c r="D2046" s="1">
        <v>10</v>
      </c>
      <c r="E2046" s="1" t="s">
        <v>39</v>
      </c>
      <c r="H2046" s="1" t="s">
        <v>54</v>
      </c>
      <c r="I2046" s="1" t="s">
        <v>12</v>
      </c>
      <c r="J2046" s="1" t="s">
        <v>156</v>
      </c>
      <c r="K2046" s="1" t="s">
        <v>14</v>
      </c>
      <c r="L2046" s="1" t="s">
        <v>12</v>
      </c>
      <c r="M2046" s="1" t="s">
        <v>12</v>
      </c>
      <c r="N2046" s="1">
        <v>21.12</v>
      </c>
      <c r="O2046" s="1" t="s">
        <v>23</v>
      </c>
      <c r="P2046" s="1">
        <v>-0.61</v>
      </c>
      <c r="Q2046" s="1" t="s">
        <v>16</v>
      </c>
      <c r="R2046" s="1" t="str">
        <f>IF(N2046="","",VLOOKUP(N2046,Prior_levels,2,TRUE))</f>
        <v>L</v>
      </c>
    </row>
    <row r="2047" spans="1:18" x14ac:dyDescent="0.2">
      <c r="A2047" s="1" t="s">
        <v>228</v>
      </c>
      <c r="B2047" s="1" t="s">
        <v>12</v>
      </c>
      <c r="C2047" s="2">
        <v>41155</v>
      </c>
      <c r="D2047" s="1">
        <v>10</v>
      </c>
      <c r="E2047" s="1" t="s">
        <v>39</v>
      </c>
      <c r="H2047" s="1" t="s">
        <v>54</v>
      </c>
      <c r="I2047" s="1" t="s">
        <v>12</v>
      </c>
      <c r="J2047" s="1" t="s">
        <v>156</v>
      </c>
      <c r="K2047" s="1" t="s">
        <v>14</v>
      </c>
      <c r="L2047" s="1" t="s">
        <v>12</v>
      </c>
      <c r="M2047" s="1" t="s">
        <v>12</v>
      </c>
      <c r="N2047" s="1">
        <v>21.12</v>
      </c>
      <c r="O2047" s="1" t="s">
        <v>24</v>
      </c>
      <c r="P2047" s="1">
        <v>2.99</v>
      </c>
      <c r="Q2047" s="1" t="s">
        <v>16</v>
      </c>
      <c r="R2047" s="1" t="str">
        <f>IF(N2047="","",VLOOKUP(N2047,Prior_levels,2,TRUE))</f>
        <v>L</v>
      </c>
    </row>
    <row r="2048" spans="1:18" x14ac:dyDescent="0.2">
      <c r="A2048" s="1" t="s">
        <v>228</v>
      </c>
      <c r="B2048" s="1" t="s">
        <v>12</v>
      </c>
      <c r="C2048" s="2">
        <v>41155</v>
      </c>
      <c r="D2048" s="1">
        <v>10</v>
      </c>
      <c r="E2048" s="1" t="s">
        <v>39</v>
      </c>
      <c r="H2048" s="1" t="s">
        <v>54</v>
      </c>
      <c r="I2048" s="1" t="s">
        <v>12</v>
      </c>
      <c r="J2048" s="1" t="s">
        <v>156</v>
      </c>
      <c r="K2048" s="1" t="s">
        <v>14</v>
      </c>
      <c r="L2048" s="1" t="s">
        <v>12</v>
      </c>
      <c r="M2048" s="1" t="s">
        <v>12</v>
      </c>
      <c r="N2048" s="1">
        <v>21.12</v>
      </c>
      <c r="O2048" s="1" t="s">
        <v>25</v>
      </c>
      <c r="P2048" s="1">
        <v>-1.2</v>
      </c>
      <c r="Q2048" s="1" t="s">
        <v>16</v>
      </c>
      <c r="R2048" s="1" t="str">
        <f>IF(N2048="","",VLOOKUP(N2048,Prior_levels,2,TRUE))</f>
        <v>L</v>
      </c>
    </row>
    <row r="2049" spans="1:18" x14ac:dyDescent="0.2">
      <c r="A2049" s="1" t="s">
        <v>228</v>
      </c>
      <c r="B2049" s="1" t="s">
        <v>12</v>
      </c>
      <c r="C2049" s="2">
        <v>41155</v>
      </c>
      <c r="D2049" s="1">
        <v>10</v>
      </c>
      <c r="E2049" s="1" t="s">
        <v>39</v>
      </c>
      <c r="H2049" s="1" t="s">
        <v>54</v>
      </c>
      <c r="I2049" s="1" t="s">
        <v>12</v>
      </c>
      <c r="J2049" s="1" t="s">
        <v>156</v>
      </c>
      <c r="K2049" s="1" t="s">
        <v>14</v>
      </c>
      <c r="L2049" s="1" t="s">
        <v>12</v>
      </c>
      <c r="M2049" s="1" t="s">
        <v>12</v>
      </c>
      <c r="N2049" s="1">
        <v>21.12</v>
      </c>
      <c r="O2049" s="1" t="s">
        <v>26</v>
      </c>
      <c r="P2049" s="1">
        <v>0</v>
      </c>
      <c r="Q2049" s="1" t="s">
        <v>16</v>
      </c>
      <c r="R2049" s="1" t="str">
        <f>IF(N2049="","",VLOOKUP(N2049,Prior_levels,2,TRUE))</f>
        <v>L</v>
      </c>
    </row>
    <row r="2050" spans="1:18" x14ac:dyDescent="0.2">
      <c r="A2050" s="1" t="s">
        <v>228</v>
      </c>
      <c r="B2050" s="1" t="s">
        <v>12</v>
      </c>
      <c r="C2050" s="2">
        <v>41155</v>
      </c>
      <c r="D2050" s="1">
        <v>10</v>
      </c>
      <c r="E2050" s="1" t="s">
        <v>39</v>
      </c>
      <c r="H2050" s="1" t="s">
        <v>54</v>
      </c>
      <c r="I2050" s="1" t="s">
        <v>12</v>
      </c>
      <c r="J2050" s="1" t="s">
        <v>156</v>
      </c>
      <c r="K2050" s="1" t="s">
        <v>14</v>
      </c>
      <c r="L2050" s="1" t="s">
        <v>12</v>
      </c>
      <c r="M2050" s="1" t="s">
        <v>12</v>
      </c>
      <c r="N2050" s="1">
        <v>21.12</v>
      </c>
      <c r="O2050" s="1" t="s">
        <v>27</v>
      </c>
      <c r="P2050" s="1" t="s">
        <v>28</v>
      </c>
      <c r="Q2050" s="1" t="s">
        <v>16</v>
      </c>
      <c r="R2050" s="1" t="str">
        <f>IF(N2050="","",VLOOKUP(N2050,Prior_levels,2,TRUE))</f>
        <v>L</v>
      </c>
    </row>
    <row r="2051" spans="1:18" x14ac:dyDescent="0.2">
      <c r="A2051" s="1" t="s">
        <v>228</v>
      </c>
      <c r="B2051" s="1" t="s">
        <v>12</v>
      </c>
      <c r="C2051" s="2">
        <v>41155</v>
      </c>
      <c r="D2051" s="1">
        <v>10</v>
      </c>
      <c r="E2051" s="1" t="s">
        <v>39</v>
      </c>
      <c r="H2051" s="1" t="s">
        <v>54</v>
      </c>
      <c r="I2051" s="1" t="s">
        <v>12</v>
      </c>
      <c r="J2051" s="1" t="s">
        <v>156</v>
      </c>
      <c r="K2051" s="1" t="s">
        <v>14</v>
      </c>
      <c r="L2051" s="1" t="s">
        <v>12</v>
      </c>
      <c r="M2051" s="1" t="s">
        <v>12</v>
      </c>
      <c r="N2051" s="1">
        <v>21.12</v>
      </c>
      <c r="O2051" s="1" t="s">
        <v>29</v>
      </c>
      <c r="P2051" s="1" t="s">
        <v>28</v>
      </c>
      <c r="Q2051" s="1" t="s">
        <v>16</v>
      </c>
      <c r="R2051" s="1" t="str">
        <f>IF(N2051="","",VLOOKUP(N2051,Prior_levels,2,TRUE))</f>
        <v>L</v>
      </c>
    </row>
    <row r="2052" spans="1:18" x14ac:dyDescent="0.2">
      <c r="A2052" s="1" t="s">
        <v>228</v>
      </c>
      <c r="B2052" s="1" t="s">
        <v>12</v>
      </c>
      <c r="C2052" s="2">
        <v>41155</v>
      </c>
      <c r="D2052" s="1">
        <v>10</v>
      </c>
      <c r="E2052" s="1" t="s">
        <v>39</v>
      </c>
      <c r="H2052" s="1" t="s">
        <v>54</v>
      </c>
      <c r="I2052" s="1" t="s">
        <v>12</v>
      </c>
      <c r="J2052" s="1" t="s">
        <v>156</v>
      </c>
      <c r="K2052" s="1" t="s">
        <v>14</v>
      </c>
      <c r="L2052" s="1" t="s">
        <v>12</v>
      </c>
      <c r="M2052" s="1" t="s">
        <v>12</v>
      </c>
      <c r="N2052" s="1">
        <v>21.12</v>
      </c>
      <c r="O2052" s="1" t="s">
        <v>30</v>
      </c>
      <c r="P2052" s="1" t="s">
        <v>28</v>
      </c>
      <c r="Q2052" s="1" t="s">
        <v>16</v>
      </c>
      <c r="R2052" s="1" t="str">
        <f>IF(N2052="","",VLOOKUP(N2052,Prior_levels,2,TRUE))</f>
        <v>L</v>
      </c>
    </row>
    <row r="2053" spans="1:18" x14ac:dyDescent="0.2">
      <c r="A2053" s="1" t="s">
        <v>228</v>
      </c>
      <c r="B2053" s="1" t="s">
        <v>12</v>
      </c>
      <c r="C2053" s="2">
        <v>41155</v>
      </c>
      <c r="D2053" s="1">
        <v>10</v>
      </c>
      <c r="E2053" s="1" t="s">
        <v>39</v>
      </c>
      <c r="H2053" s="1" t="s">
        <v>54</v>
      </c>
      <c r="I2053" s="1" t="s">
        <v>12</v>
      </c>
      <c r="J2053" s="1" t="s">
        <v>156</v>
      </c>
      <c r="K2053" s="1" t="s">
        <v>14</v>
      </c>
      <c r="L2053" s="1" t="s">
        <v>12</v>
      </c>
      <c r="M2053" s="1" t="s">
        <v>12</v>
      </c>
      <c r="N2053" s="1">
        <v>21.12</v>
      </c>
      <c r="O2053" s="1" t="s">
        <v>31</v>
      </c>
      <c r="P2053" s="1" t="s">
        <v>28</v>
      </c>
      <c r="Q2053" s="1" t="s">
        <v>16</v>
      </c>
      <c r="R2053" s="1" t="str">
        <f>IF(N2053="","",VLOOKUP(N2053,Prior_levels,2,TRUE))</f>
        <v>L</v>
      </c>
    </row>
    <row r="2054" spans="1:18" x14ac:dyDescent="0.2">
      <c r="A2054" s="1" t="s">
        <v>228</v>
      </c>
      <c r="B2054" s="1" t="s">
        <v>12</v>
      </c>
      <c r="C2054" s="2">
        <v>41155</v>
      </c>
      <c r="D2054" s="1">
        <v>10</v>
      </c>
      <c r="E2054" s="1" t="s">
        <v>39</v>
      </c>
      <c r="H2054" s="1" t="s">
        <v>54</v>
      </c>
      <c r="I2054" s="1" t="s">
        <v>12</v>
      </c>
      <c r="J2054" s="1" t="s">
        <v>156</v>
      </c>
      <c r="K2054" s="1" t="s">
        <v>14</v>
      </c>
      <c r="L2054" s="1" t="s">
        <v>12</v>
      </c>
      <c r="M2054" s="1" t="s">
        <v>12</v>
      </c>
      <c r="N2054" s="1">
        <v>21.12</v>
      </c>
      <c r="O2054" s="1" t="s">
        <v>32</v>
      </c>
      <c r="P2054" s="1" t="s">
        <v>28</v>
      </c>
      <c r="Q2054" s="1" t="s">
        <v>16</v>
      </c>
      <c r="R2054" s="1" t="str">
        <f>IF(N2054="","",VLOOKUP(N2054,Prior_levels,2,TRUE))</f>
        <v>L</v>
      </c>
    </row>
    <row r="2055" spans="1:18" x14ac:dyDescent="0.2">
      <c r="A2055" s="1" t="s">
        <v>229</v>
      </c>
      <c r="B2055" s="1" t="s">
        <v>12</v>
      </c>
      <c r="C2055" s="2">
        <v>41155</v>
      </c>
      <c r="D2055" s="1">
        <v>10</v>
      </c>
      <c r="E2055" s="1" t="s">
        <v>34</v>
      </c>
      <c r="H2055" s="1" t="s">
        <v>54</v>
      </c>
      <c r="I2055" s="1" t="s">
        <v>12</v>
      </c>
      <c r="J2055" s="1" t="s">
        <v>40</v>
      </c>
      <c r="K2055" s="1" t="s">
        <v>14</v>
      </c>
      <c r="L2055" s="1" t="s">
        <v>35</v>
      </c>
      <c r="M2055" s="1" t="s">
        <v>35</v>
      </c>
      <c r="N2055" s="1">
        <v>30.18</v>
      </c>
      <c r="O2055" s="1" t="s">
        <v>15</v>
      </c>
      <c r="P2055" s="1">
        <v>5.9</v>
      </c>
      <c r="Q2055" s="1" t="s">
        <v>16</v>
      </c>
      <c r="R2055" s="1" t="str">
        <f>IF(N2055="","",VLOOKUP(N2055,Prior_levels,2,TRUE))</f>
        <v>H</v>
      </c>
    </row>
    <row r="2056" spans="1:18" x14ac:dyDescent="0.2">
      <c r="A2056" s="1" t="s">
        <v>229</v>
      </c>
      <c r="B2056" s="1" t="s">
        <v>12</v>
      </c>
      <c r="C2056" s="2">
        <v>41155</v>
      </c>
      <c r="D2056" s="1">
        <v>10</v>
      </c>
      <c r="E2056" s="1" t="s">
        <v>34</v>
      </c>
      <c r="H2056" s="1" t="s">
        <v>54</v>
      </c>
      <c r="I2056" s="1" t="s">
        <v>12</v>
      </c>
      <c r="J2056" s="1" t="s">
        <v>40</v>
      </c>
      <c r="K2056" s="1" t="s">
        <v>14</v>
      </c>
      <c r="L2056" s="1" t="s">
        <v>35</v>
      </c>
      <c r="M2056" s="1" t="s">
        <v>35</v>
      </c>
      <c r="N2056" s="1">
        <v>30.18</v>
      </c>
      <c r="O2056" s="1" t="s">
        <v>17</v>
      </c>
      <c r="P2056" s="1">
        <v>0.31</v>
      </c>
      <c r="Q2056" s="1" t="s">
        <v>16</v>
      </c>
      <c r="R2056" s="1" t="str">
        <f>IF(N2056="","",VLOOKUP(N2056,Prior_levels,2,TRUE))</f>
        <v>H</v>
      </c>
    </row>
    <row r="2057" spans="1:18" x14ac:dyDescent="0.2">
      <c r="A2057" s="1" t="s">
        <v>229</v>
      </c>
      <c r="B2057" s="1" t="s">
        <v>12</v>
      </c>
      <c r="C2057" s="2">
        <v>41155</v>
      </c>
      <c r="D2057" s="1">
        <v>10</v>
      </c>
      <c r="E2057" s="1" t="s">
        <v>34</v>
      </c>
      <c r="H2057" s="1" t="s">
        <v>54</v>
      </c>
      <c r="I2057" s="1" t="s">
        <v>12</v>
      </c>
      <c r="J2057" s="1" t="s">
        <v>40</v>
      </c>
      <c r="K2057" s="1" t="s">
        <v>14</v>
      </c>
      <c r="L2057" s="1" t="s">
        <v>35</v>
      </c>
      <c r="M2057" s="1" t="s">
        <v>35</v>
      </c>
      <c r="N2057" s="1">
        <v>30.18</v>
      </c>
      <c r="O2057" s="1" t="s">
        <v>18</v>
      </c>
      <c r="P2057" s="1">
        <v>12</v>
      </c>
      <c r="Q2057" s="1" t="s">
        <v>16</v>
      </c>
      <c r="R2057" s="1" t="str">
        <f>IF(N2057="","",VLOOKUP(N2057,Prior_levels,2,TRUE))</f>
        <v>H</v>
      </c>
    </row>
    <row r="2058" spans="1:18" x14ac:dyDescent="0.2">
      <c r="A2058" s="1" t="s">
        <v>229</v>
      </c>
      <c r="B2058" s="1" t="s">
        <v>12</v>
      </c>
      <c r="C2058" s="2">
        <v>41155</v>
      </c>
      <c r="D2058" s="1">
        <v>10</v>
      </c>
      <c r="E2058" s="1" t="s">
        <v>34</v>
      </c>
      <c r="H2058" s="1" t="s">
        <v>54</v>
      </c>
      <c r="I2058" s="1" t="s">
        <v>12</v>
      </c>
      <c r="J2058" s="1" t="s">
        <v>40</v>
      </c>
      <c r="K2058" s="1" t="s">
        <v>14</v>
      </c>
      <c r="L2058" s="1" t="s">
        <v>35</v>
      </c>
      <c r="M2058" s="1" t="s">
        <v>35</v>
      </c>
      <c r="N2058" s="1">
        <v>30.18</v>
      </c>
      <c r="O2058" s="1" t="s">
        <v>19</v>
      </c>
      <c r="P2058" s="1">
        <v>12</v>
      </c>
      <c r="Q2058" s="1" t="s">
        <v>16</v>
      </c>
      <c r="R2058" s="1" t="str">
        <f>IF(N2058="","",VLOOKUP(N2058,Prior_levels,2,TRUE))</f>
        <v>H</v>
      </c>
    </row>
    <row r="2059" spans="1:18" x14ac:dyDescent="0.2">
      <c r="A2059" s="1" t="s">
        <v>229</v>
      </c>
      <c r="B2059" s="1" t="s">
        <v>12</v>
      </c>
      <c r="C2059" s="2">
        <v>41155</v>
      </c>
      <c r="D2059" s="1">
        <v>10</v>
      </c>
      <c r="E2059" s="1" t="s">
        <v>34</v>
      </c>
      <c r="H2059" s="1" t="s">
        <v>54</v>
      </c>
      <c r="I2059" s="1" t="s">
        <v>12</v>
      </c>
      <c r="J2059" s="1" t="s">
        <v>40</v>
      </c>
      <c r="K2059" s="1" t="s">
        <v>14</v>
      </c>
      <c r="L2059" s="1" t="s">
        <v>35</v>
      </c>
      <c r="M2059" s="1" t="s">
        <v>35</v>
      </c>
      <c r="N2059" s="1">
        <v>30.18</v>
      </c>
      <c r="O2059" s="1" t="s">
        <v>20</v>
      </c>
      <c r="P2059" s="1">
        <v>16.5</v>
      </c>
      <c r="Q2059" s="1" t="s">
        <v>16</v>
      </c>
      <c r="R2059" s="1" t="str">
        <f>IF(N2059="","",VLOOKUP(N2059,Prior_levels,2,TRUE))</f>
        <v>H</v>
      </c>
    </row>
    <row r="2060" spans="1:18" x14ac:dyDescent="0.2">
      <c r="A2060" s="1" t="s">
        <v>229</v>
      </c>
      <c r="B2060" s="1" t="s">
        <v>12</v>
      </c>
      <c r="C2060" s="2">
        <v>41155</v>
      </c>
      <c r="D2060" s="1">
        <v>10</v>
      </c>
      <c r="E2060" s="1" t="s">
        <v>34</v>
      </c>
      <c r="H2060" s="1" t="s">
        <v>54</v>
      </c>
      <c r="I2060" s="1" t="s">
        <v>12</v>
      </c>
      <c r="J2060" s="1" t="s">
        <v>40</v>
      </c>
      <c r="K2060" s="1" t="s">
        <v>14</v>
      </c>
      <c r="L2060" s="1" t="s">
        <v>35</v>
      </c>
      <c r="M2060" s="1" t="s">
        <v>35</v>
      </c>
      <c r="N2060" s="1">
        <v>30.18</v>
      </c>
      <c r="O2060" s="1" t="s">
        <v>21</v>
      </c>
      <c r="P2060" s="1">
        <v>18.5</v>
      </c>
      <c r="Q2060" s="1" t="s">
        <v>16</v>
      </c>
      <c r="R2060" s="1" t="str">
        <f>IF(N2060="","",VLOOKUP(N2060,Prior_levels,2,TRUE))</f>
        <v>H</v>
      </c>
    </row>
    <row r="2061" spans="1:18" x14ac:dyDescent="0.2">
      <c r="A2061" s="1" t="s">
        <v>229</v>
      </c>
      <c r="B2061" s="1" t="s">
        <v>12</v>
      </c>
      <c r="C2061" s="2">
        <v>41155</v>
      </c>
      <c r="D2061" s="1">
        <v>10</v>
      </c>
      <c r="E2061" s="1" t="s">
        <v>34</v>
      </c>
      <c r="H2061" s="1" t="s">
        <v>54</v>
      </c>
      <c r="I2061" s="1" t="s">
        <v>12</v>
      </c>
      <c r="J2061" s="1" t="s">
        <v>40</v>
      </c>
      <c r="K2061" s="1" t="s">
        <v>14</v>
      </c>
      <c r="L2061" s="1" t="s">
        <v>35</v>
      </c>
      <c r="M2061" s="1" t="s">
        <v>35</v>
      </c>
      <c r="N2061" s="1">
        <v>30.18</v>
      </c>
      <c r="O2061" s="1" t="s">
        <v>22</v>
      </c>
      <c r="P2061" s="1">
        <v>0.15</v>
      </c>
      <c r="Q2061" s="1" t="s">
        <v>16</v>
      </c>
      <c r="R2061" s="1" t="str">
        <f>IF(N2061="","",VLOOKUP(N2061,Prior_levels,2,TRUE))</f>
        <v>H</v>
      </c>
    </row>
    <row r="2062" spans="1:18" x14ac:dyDescent="0.2">
      <c r="A2062" s="1" t="s">
        <v>229</v>
      </c>
      <c r="B2062" s="1" t="s">
        <v>12</v>
      </c>
      <c r="C2062" s="2">
        <v>41155</v>
      </c>
      <c r="D2062" s="1">
        <v>10</v>
      </c>
      <c r="E2062" s="1" t="s">
        <v>34</v>
      </c>
      <c r="H2062" s="1" t="s">
        <v>54</v>
      </c>
      <c r="I2062" s="1" t="s">
        <v>12</v>
      </c>
      <c r="J2062" s="1" t="s">
        <v>40</v>
      </c>
      <c r="K2062" s="1" t="s">
        <v>14</v>
      </c>
      <c r="L2062" s="1" t="s">
        <v>35</v>
      </c>
      <c r="M2062" s="1" t="s">
        <v>35</v>
      </c>
      <c r="N2062" s="1">
        <v>30.18</v>
      </c>
      <c r="O2062" s="1" t="s">
        <v>23</v>
      </c>
      <c r="P2062" s="1">
        <v>0.37</v>
      </c>
      <c r="Q2062" s="1" t="s">
        <v>16</v>
      </c>
      <c r="R2062" s="1" t="str">
        <f>IF(N2062="","",VLOOKUP(N2062,Prior_levels,2,TRUE))</f>
        <v>H</v>
      </c>
    </row>
    <row r="2063" spans="1:18" x14ac:dyDescent="0.2">
      <c r="A2063" s="1" t="s">
        <v>229</v>
      </c>
      <c r="B2063" s="1" t="s">
        <v>12</v>
      </c>
      <c r="C2063" s="2">
        <v>41155</v>
      </c>
      <c r="D2063" s="1">
        <v>10</v>
      </c>
      <c r="E2063" s="1" t="s">
        <v>34</v>
      </c>
      <c r="H2063" s="1" t="s">
        <v>54</v>
      </c>
      <c r="I2063" s="1" t="s">
        <v>12</v>
      </c>
      <c r="J2063" s="1" t="s">
        <v>40</v>
      </c>
      <c r="K2063" s="1" t="s">
        <v>14</v>
      </c>
      <c r="L2063" s="1" t="s">
        <v>35</v>
      </c>
      <c r="M2063" s="1" t="s">
        <v>35</v>
      </c>
      <c r="N2063" s="1">
        <v>30.18</v>
      </c>
      <c r="O2063" s="1" t="s">
        <v>25</v>
      </c>
      <c r="P2063" s="1">
        <v>1.29</v>
      </c>
      <c r="Q2063" s="1" t="s">
        <v>16</v>
      </c>
      <c r="R2063" s="1" t="str">
        <f>IF(N2063="","",VLOOKUP(N2063,Prior_levels,2,TRUE))</f>
        <v>H</v>
      </c>
    </row>
    <row r="2064" spans="1:18" x14ac:dyDescent="0.2">
      <c r="A2064" s="1" t="s">
        <v>229</v>
      </c>
      <c r="B2064" s="1" t="s">
        <v>12</v>
      </c>
      <c r="C2064" s="2">
        <v>41155</v>
      </c>
      <c r="D2064" s="1">
        <v>10</v>
      </c>
      <c r="E2064" s="1" t="s">
        <v>34</v>
      </c>
      <c r="H2064" s="1" t="s">
        <v>54</v>
      </c>
      <c r="I2064" s="1" t="s">
        <v>12</v>
      </c>
      <c r="J2064" s="1" t="s">
        <v>40</v>
      </c>
      <c r="K2064" s="1" t="s">
        <v>14</v>
      </c>
      <c r="L2064" s="1" t="s">
        <v>35</v>
      </c>
      <c r="M2064" s="1" t="s">
        <v>35</v>
      </c>
      <c r="N2064" s="1">
        <v>30.18</v>
      </c>
      <c r="O2064" s="1" t="s">
        <v>26</v>
      </c>
      <c r="P2064" s="1">
        <v>13</v>
      </c>
      <c r="Q2064" s="1" t="s">
        <v>16</v>
      </c>
      <c r="R2064" s="1" t="str">
        <f>IF(N2064="","",VLOOKUP(N2064,Prior_levels,2,TRUE))</f>
        <v>H</v>
      </c>
    </row>
    <row r="2065" spans="1:18" x14ac:dyDescent="0.2">
      <c r="A2065" s="1" t="s">
        <v>229</v>
      </c>
      <c r="B2065" s="1" t="s">
        <v>12</v>
      </c>
      <c r="C2065" s="2">
        <v>41155</v>
      </c>
      <c r="D2065" s="1">
        <v>10</v>
      </c>
      <c r="E2065" s="1" t="s">
        <v>34</v>
      </c>
      <c r="H2065" s="1" t="s">
        <v>54</v>
      </c>
      <c r="I2065" s="1" t="s">
        <v>12</v>
      </c>
      <c r="J2065" s="1" t="s">
        <v>40</v>
      </c>
      <c r="K2065" s="1" t="s">
        <v>14</v>
      </c>
      <c r="L2065" s="1" t="s">
        <v>35</v>
      </c>
      <c r="M2065" s="1" t="s">
        <v>35</v>
      </c>
      <c r="N2065" s="1">
        <v>30.18</v>
      </c>
      <c r="O2065" s="1" t="s">
        <v>24</v>
      </c>
      <c r="P2065" s="1">
        <v>0.79</v>
      </c>
      <c r="Q2065" s="1" t="s">
        <v>16</v>
      </c>
      <c r="R2065" s="1" t="str">
        <f>IF(N2065="","",VLOOKUP(N2065,Prior_levels,2,TRUE))</f>
        <v>H</v>
      </c>
    </row>
    <row r="2066" spans="1:18" x14ac:dyDescent="0.2">
      <c r="A2066" s="1" t="s">
        <v>229</v>
      </c>
      <c r="B2066" s="1" t="s">
        <v>12</v>
      </c>
      <c r="C2066" s="2">
        <v>41155</v>
      </c>
      <c r="D2066" s="1">
        <v>10</v>
      </c>
      <c r="E2066" s="1" t="s">
        <v>34</v>
      </c>
      <c r="H2066" s="1" t="s">
        <v>54</v>
      </c>
      <c r="I2066" s="1" t="s">
        <v>12</v>
      </c>
      <c r="J2066" s="1" t="s">
        <v>40</v>
      </c>
      <c r="K2066" s="1" t="s">
        <v>14</v>
      </c>
      <c r="L2066" s="1" t="s">
        <v>35</v>
      </c>
      <c r="M2066" s="1" t="s">
        <v>35</v>
      </c>
      <c r="N2066" s="1">
        <v>30.18</v>
      </c>
      <c r="O2066" s="1" t="s">
        <v>27</v>
      </c>
      <c r="P2066" s="1" t="s">
        <v>37</v>
      </c>
      <c r="Q2066" s="1" t="s">
        <v>16</v>
      </c>
      <c r="R2066" s="1" t="str">
        <f>IF(N2066="","",VLOOKUP(N2066,Prior_levels,2,TRUE))</f>
        <v>H</v>
      </c>
    </row>
    <row r="2067" spans="1:18" x14ac:dyDescent="0.2">
      <c r="A2067" s="1" t="s">
        <v>229</v>
      </c>
      <c r="B2067" s="1" t="s">
        <v>12</v>
      </c>
      <c r="C2067" s="2">
        <v>41155</v>
      </c>
      <c r="D2067" s="1">
        <v>10</v>
      </c>
      <c r="E2067" s="1" t="s">
        <v>34</v>
      </c>
      <c r="H2067" s="1" t="s">
        <v>54</v>
      </c>
      <c r="I2067" s="1" t="s">
        <v>12</v>
      </c>
      <c r="J2067" s="1" t="s">
        <v>40</v>
      </c>
      <c r="K2067" s="1" t="s">
        <v>14</v>
      </c>
      <c r="L2067" s="1" t="s">
        <v>35</v>
      </c>
      <c r="M2067" s="1" t="s">
        <v>35</v>
      </c>
      <c r="N2067" s="1">
        <v>30.18</v>
      </c>
      <c r="O2067" s="1" t="s">
        <v>29</v>
      </c>
      <c r="P2067" s="1" t="s">
        <v>37</v>
      </c>
      <c r="Q2067" s="1" t="s">
        <v>16</v>
      </c>
      <c r="R2067" s="1" t="str">
        <f>IF(N2067="","",VLOOKUP(N2067,Prior_levels,2,TRUE))</f>
        <v>H</v>
      </c>
    </row>
    <row r="2068" spans="1:18" x14ac:dyDescent="0.2">
      <c r="A2068" s="1" t="s">
        <v>229</v>
      </c>
      <c r="B2068" s="1" t="s">
        <v>12</v>
      </c>
      <c r="C2068" s="2">
        <v>41155</v>
      </c>
      <c r="D2068" s="1">
        <v>10</v>
      </c>
      <c r="E2068" s="1" t="s">
        <v>34</v>
      </c>
      <c r="H2068" s="1" t="s">
        <v>54</v>
      </c>
      <c r="I2068" s="1" t="s">
        <v>12</v>
      </c>
      <c r="J2068" s="1" t="s">
        <v>40</v>
      </c>
      <c r="K2068" s="1" t="s">
        <v>14</v>
      </c>
      <c r="L2068" s="1" t="s">
        <v>35</v>
      </c>
      <c r="M2068" s="1" t="s">
        <v>35</v>
      </c>
      <c r="N2068" s="1">
        <v>30.18</v>
      </c>
      <c r="O2068" s="1" t="s">
        <v>30</v>
      </c>
      <c r="P2068" s="1" t="s">
        <v>37</v>
      </c>
      <c r="Q2068" s="1" t="s">
        <v>16</v>
      </c>
      <c r="R2068" s="1" t="str">
        <f>IF(N2068="","",VLOOKUP(N2068,Prior_levels,2,TRUE))</f>
        <v>H</v>
      </c>
    </row>
    <row r="2069" spans="1:18" x14ac:dyDescent="0.2">
      <c r="A2069" s="1" t="s">
        <v>229</v>
      </c>
      <c r="B2069" s="1" t="s">
        <v>12</v>
      </c>
      <c r="C2069" s="2">
        <v>41155</v>
      </c>
      <c r="D2069" s="1">
        <v>10</v>
      </c>
      <c r="E2069" s="1" t="s">
        <v>34</v>
      </c>
      <c r="H2069" s="1" t="s">
        <v>54</v>
      </c>
      <c r="I2069" s="1" t="s">
        <v>12</v>
      </c>
      <c r="J2069" s="1" t="s">
        <v>40</v>
      </c>
      <c r="K2069" s="1" t="s">
        <v>14</v>
      </c>
      <c r="L2069" s="1" t="s">
        <v>35</v>
      </c>
      <c r="M2069" s="1" t="s">
        <v>35</v>
      </c>
      <c r="N2069" s="1">
        <v>30.18</v>
      </c>
      <c r="O2069" s="1" t="s">
        <v>31</v>
      </c>
      <c r="P2069" s="1" t="s">
        <v>37</v>
      </c>
      <c r="Q2069" s="1" t="s">
        <v>16</v>
      </c>
      <c r="R2069" s="1" t="str">
        <f>IF(N2069="","",VLOOKUP(N2069,Prior_levels,2,TRUE))</f>
        <v>H</v>
      </c>
    </row>
    <row r="2070" spans="1:18" x14ac:dyDescent="0.2">
      <c r="A2070" s="1" t="s">
        <v>229</v>
      </c>
      <c r="B2070" s="1" t="s">
        <v>12</v>
      </c>
      <c r="C2070" s="2">
        <v>41155</v>
      </c>
      <c r="D2070" s="1">
        <v>10</v>
      </c>
      <c r="E2070" s="1" t="s">
        <v>34</v>
      </c>
      <c r="H2070" s="1" t="s">
        <v>54</v>
      </c>
      <c r="I2070" s="1" t="s">
        <v>12</v>
      </c>
      <c r="J2070" s="1" t="s">
        <v>40</v>
      </c>
      <c r="K2070" s="1" t="s">
        <v>14</v>
      </c>
      <c r="L2070" s="1" t="s">
        <v>35</v>
      </c>
      <c r="M2070" s="1" t="s">
        <v>35</v>
      </c>
      <c r="N2070" s="1">
        <v>30.18</v>
      </c>
      <c r="O2070" s="1" t="s">
        <v>32</v>
      </c>
      <c r="P2070" s="1" t="s">
        <v>37</v>
      </c>
      <c r="Q2070" s="1" t="s">
        <v>16</v>
      </c>
      <c r="R2070" s="1" t="str">
        <f>IF(N2070="","",VLOOKUP(N2070,Prior_levels,2,TRUE))</f>
        <v>H</v>
      </c>
    </row>
    <row r="2071" spans="1:18" x14ac:dyDescent="0.2">
      <c r="A2071" s="1" t="s">
        <v>230</v>
      </c>
      <c r="B2071" s="1" t="s">
        <v>10</v>
      </c>
      <c r="C2071" s="2">
        <v>41155</v>
      </c>
      <c r="D2071" s="1">
        <v>10</v>
      </c>
      <c r="E2071" s="1" t="s">
        <v>47</v>
      </c>
      <c r="H2071" s="1" t="s">
        <v>54</v>
      </c>
      <c r="I2071" s="1" t="s">
        <v>12</v>
      </c>
      <c r="J2071" s="1" t="s">
        <v>231</v>
      </c>
      <c r="K2071" s="1" t="s">
        <v>14</v>
      </c>
      <c r="L2071" s="1" t="s">
        <v>12</v>
      </c>
      <c r="M2071" s="1" t="s">
        <v>12</v>
      </c>
      <c r="N2071" s="1">
        <v>21.12</v>
      </c>
      <c r="O2071" s="1" t="s">
        <v>15</v>
      </c>
      <c r="P2071" s="1">
        <v>3.2</v>
      </c>
      <c r="Q2071" s="1" t="s">
        <v>16</v>
      </c>
      <c r="R2071" s="1" t="str">
        <f>IF(N2071="","",VLOOKUP(N2071,Prior_levels,2,TRUE))</f>
        <v>L</v>
      </c>
    </row>
    <row r="2072" spans="1:18" x14ac:dyDescent="0.2">
      <c r="A2072" s="1" t="s">
        <v>230</v>
      </c>
      <c r="B2072" s="1" t="s">
        <v>10</v>
      </c>
      <c r="C2072" s="2">
        <v>41155</v>
      </c>
      <c r="D2072" s="1">
        <v>10</v>
      </c>
      <c r="E2072" s="1" t="s">
        <v>47</v>
      </c>
      <c r="H2072" s="1" t="s">
        <v>54</v>
      </c>
      <c r="I2072" s="1" t="s">
        <v>12</v>
      </c>
      <c r="J2072" s="1" t="s">
        <v>231</v>
      </c>
      <c r="K2072" s="1" t="s">
        <v>14</v>
      </c>
      <c r="L2072" s="1" t="s">
        <v>12</v>
      </c>
      <c r="M2072" s="1" t="s">
        <v>12</v>
      </c>
      <c r="N2072" s="1">
        <v>21.12</v>
      </c>
      <c r="O2072" s="1" t="s">
        <v>17</v>
      </c>
      <c r="P2072" s="1">
        <v>0.37</v>
      </c>
      <c r="Q2072" s="1" t="s">
        <v>16</v>
      </c>
      <c r="R2072" s="1" t="str">
        <f>IF(N2072="","",VLOOKUP(N2072,Prior_levels,2,TRUE))</f>
        <v>L</v>
      </c>
    </row>
    <row r="2073" spans="1:18" x14ac:dyDescent="0.2">
      <c r="A2073" s="1" t="s">
        <v>230</v>
      </c>
      <c r="B2073" s="1" t="s">
        <v>10</v>
      </c>
      <c r="C2073" s="2">
        <v>41155</v>
      </c>
      <c r="D2073" s="1">
        <v>10</v>
      </c>
      <c r="E2073" s="1" t="s">
        <v>47</v>
      </c>
      <c r="H2073" s="1" t="s">
        <v>54</v>
      </c>
      <c r="I2073" s="1" t="s">
        <v>12</v>
      </c>
      <c r="J2073" s="1" t="s">
        <v>231</v>
      </c>
      <c r="K2073" s="1" t="s">
        <v>14</v>
      </c>
      <c r="L2073" s="1" t="s">
        <v>12</v>
      </c>
      <c r="M2073" s="1" t="s">
        <v>12</v>
      </c>
      <c r="N2073" s="1">
        <v>21.12</v>
      </c>
      <c r="O2073" s="1" t="s">
        <v>18</v>
      </c>
      <c r="P2073" s="1">
        <v>8</v>
      </c>
      <c r="Q2073" s="1" t="s">
        <v>16</v>
      </c>
      <c r="R2073" s="1" t="str">
        <f>IF(N2073="","",VLOOKUP(N2073,Prior_levels,2,TRUE))</f>
        <v>L</v>
      </c>
    </row>
    <row r="2074" spans="1:18" x14ac:dyDescent="0.2">
      <c r="A2074" s="1" t="s">
        <v>230</v>
      </c>
      <c r="B2074" s="1" t="s">
        <v>10</v>
      </c>
      <c r="C2074" s="2">
        <v>41155</v>
      </c>
      <c r="D2074" s="1">
        <v>10</v>
      </c>
      <c r="E2074" s="1" t="s">
        <v>47</v>
      </c>
      <c r="H2074" s="1" t="s">
        <v>54</v>
      </c>
      <c r="I2074" s="1" t="s">
        <v>12</v>
      </c>
      <c r="J2074" s="1" t="s">
        <v>231</v>
      </c>
      <c r="K2074" s="1" t="s">
        <v>14</v>
      </c>
      <c r="L2074" s="1" t="s">
        <v>12</v>
      </c>
      <c r="M2074" s="1" t="s">
        <v>12</v>
      </c>
      <c r="N2074" s="1">
        <v>21.12</v>
      </c>
      <c r="O2074" s="1" t="s">
        <v>19</v>
      </c>
      <c r="P2074" s="1">
        <v>6</v>
      </c>
      <c r="Q2074" s="1" t="s">
        <v>16</v>
      </c>
      <c r="R2074" s="1" t="str">
        <f>IF(N2074="","",VLOOKUP(N2074,Prior_levels,2,TRUE))</f>
        <v>L</v>
      </c>
    </row>
    <row r="2075" spans="1:18" x14ac:dyDescent="0.2">
      <c r="A2075" s="1" t="s">
        <v>230</v>
      </c>
      <c r="B2075" s="1" t="s">
        <v>10</v>
      </c>
      <c r="C2075" s="2">
        <v>41155</v>
      </c>
      <c r="D2075" s="1">
        <v>10</v>
      </c>
      <c r="E2075" s="1" t="s">
        <v>47</v>
      </c>
      <c r="H2075" s="1" t="s">
        <v>54</v>
      </c>
      <c r="I2075" s="1" t="s">
        <v>12</v>
      </c>
      <c r="J2075" s="1" t="s">
        <v>231</v>
      </c>
      <c r="K2075" s="1" t="s">
        <v>14</v>
      </c>
      <c r="L2075" s="1" t="s">
        <v>12</v>
      </c>
      <c r="M2075" s="1" t="s">
        <v>12</v>
      </c>
      <c r="N2075" s="1">
        <v>21.12</v>
      </c>
      <c r="O2075" s="1" t="s">
        <v>20</v>
      </c>
      <c r="P2075" s="1">
        <v>9</v>
      </c>
      <c r="Q2075" s="1" t="s">
        <v>16</v>
      </c>
      <c r="R2075" s="1" t="str">
        <f>IF(N2075="","",VLOOKUP(N2075,Prior_levels,2,TRUE))</f>
        <v>L</v>
      </c>
    </row>
    <row r="2076" spans="1:18" x14ac:dyDescent="0.2">
      <c r="A2076" s="1" t="s">
        <v>230</v>
      </c>
      <c r="B2076" s="1" t="s">
        <v>10</v>
      </c>
      <c r="C2076" s="2">
        <v>41155</v>
      </c>
      <c r="D2076" s="1">
        <v>10</v>
      </c>
      <c r="E2076" s="1" t="s">
        <v>47</v>
      </c>
      <c r="H2076" s="1" t="s">
        <v>54</v>
      </c>
      <c r="I2076" s="1" t="s">
        <v>12</v>
      </c>
      <c r="J2076" s="1" t="s">
        <v>231</v>
      </c>
      <c r="K2076" s="1" t="s">
        <v>14</v>
      </c>
      <c r="L2076" s="1" t="s">
        <v>12</v>
      </c>
      <c r="M2076" s="1" t="s">
        <v>12</v>
      </c>
      <c r="N2076" s="1">
        <v>21.12</v>
      </c>
      <c r="O2076" s="1" t="s">
        <v>21</v>
      </c>
      <c r="P2076" s="1">
        <v>9</v>
      </c>
      <c r="Q2076" s="1" t="s">
        <v>16</v>
      </c>
      <c r="R2076" s="1" t="str">
        <f>IF(N2076="","",VLOOKUP(N2076,Prior_levels,2,TRUE))</f>
        <v>L</v>
      </c>
    </row>
    <row r="2077" spans="1:18" x14ac:dyDescent="0.2">
      <c r="A2077" s="1" t="s">
        <v>230</v>
      </c>
      <c r="B2077" s="1" t="s">
        <v>10</v>
      </c>
      <c r="C2077" s="2">
        <v>41155</v>
      </c>
      <c r="D2077" s="1">
        <v>10</v>
      </c>
      <c r="E2077" s="1" t="s">
        <v>47</v>
      </c>
      <c r="H2077" s="1" t="s">
        <v>54</v>
      </c>
      <c r="I2077" s="1" t="s">
        <v>12</v>
      </c>
      <c r="J2077" s="1" t="s">
        <v>231</v>
      </c>
      <c r="K2077" s="1" t="s">
        <v>14</v>
      </c>
      <c r="L2077" s="1" t="s">
        <v>12</v>
      </c>
      <c r="M2077" s="1" t="s">
        <v>12</v>
      </c>
      <c r="N2077" s="1">
        <v>21.12</v>
      </c>
      <c r="O2077" s="1" t="s">
        <v>22</v>
      </c>
      <c r="P2077" s="1">
        <v>0.34</v>
      </c>
      <c r="Q2077" s="1" t="s">
        <v>16</v>
      </c>
      <c r="R2077" s="1" t="str">
        <f>IF(N2077="","",VLOOKUP(N2077,Prior_levels,2,TRUE))</f>
        <v>L</v>
      </c>
    </row>
    <row r="2078" spans="1:18" x14ac:dyDescent="0.2">
      <c r="A2078" s="1" t="s">
        <v>230</v>
      </c>
      <c r="B2078" s="1" t="s">
        <v>10</v>
      </c>
      <c r="C2078" s="2">
        <v>41155</v>
      </c>
      <c r="D2078" s="1">
        <v>10</v>
      </c>
      <c r="E2078" s="1" t="s">
        <v>47</v>
      </c>
      <c r="H2078" s="1" t="s">
        <v>54</v>
      </c>
      <c r="I2078" s="1" t="s">
        <v>12</v>
      </c>
      <c r="J2078" s="1" t="s">
        <v>231</v>
      </c>
      <c r="K2078" s="1" t="s">
        <v>14</v>
      </c>
      <c r="L2078" s="1" t="s">
        <v>12</v>
      </c>
      <c r="M2078" s="1" t="s">
        <v>12</v>
      </c>
      <c r="N2078" s="1">
        <v>21.12</v>
      </c>
      <c r="O2078" s="1" t="s">
        <v>23</v>
      </c>
      <c r="P2078" s="1">
        <v>0.39</v>
      </c>
      <c r="Q2078" s="1" t="s">
        <v>16</v>
      </c>
      <c r="R2078" s="1" t="str">
        <f>IF(N2078="","",VLOOKUP(N2078,Prior_levels,2,TRUE))</f>
        <v>L</v>
      </c>
    </row>
    <row r="2079" spans="1:18" x14ac:dyDescent="0.2">
      <c r="A2079" s="1" t="s">
        <v>230</v>
      </c>
      <c r="B2079" s="1" t="s">
        <v>10</v>
      </c>
      <c r="C2079" s="2">
        <v>41155</v>
      </c>
      <c r="D2079" s="1">
        <v>10</v>
      </c>
      <c r="E2079" s="1" t="s">
        <v>47</v>
      </c>
      <c r="H2079" s="1" t="s">
        <v>54</v>
      </c>
      <c r="I2079" s="1" t="s">
        <v>12</v>
      </c>
      <c r="J2079" s="1" t="s">
        <v>231</v>
      </c>
      <c r="K2079" s="1" t="s">
        <v>14</v>
      </c>
      <c r="L2079" s="1" t="s">
        <v>12</v>
      </c>
      <c r="M2079" s="1" t="s">
        <v>12</v>
      </c>
      <c r="N2079" s="1">
        <v>21.12</v>
      </c>
      <c r="O2079" s="1" t="s">
        <v>24</v>
      </c>
      <c r="P2079" s="1">
        <v>4.49</v>
      </c>
      <c r="Q2079" s="1" t="s">
        <v>16</v>
      </c>
      <c r="R2079" s="1" t="str">
        <f>IF(N2079="","",VLOOKUP(N2079,Prior_levels,2,TRUE))</f>
        <v>L</v>
      </c>
    </row>
    <row r="2080" spans="1:18" x14ac:dyDescent="0.2">
      <c r="A2080" s="1" t="s">
        <v>230</v>
      </c>
      <c r="B2080" s="1" t="s">
        <v>10</v>
      </c>
      <c r="C2080" s="2">
        <v>41155</v>
      </c>
      <c r="D2080" s="1">
        <v>10</v>
      </c>
      <c r="E2080" s="1" t="s">
        <v>47</v>
      </c>
      <c r="H2080" s="1" t="s">
        <v>54</v>
      </c>
      <c r="I2080" s="1" t="s">
        <v>12</v>
      </c>
      <c r="J2080" s="1" t="s">
        <v>231</v>
      </c>
      <c r="K2080" s="1" t="s">
        <v>14</v>
      </c>
      <c r="L2080" s="1" t="s">
        <v>12</v>
      </c>
      <c r="M2080" s="1" t="s">
        <v>12</v>
      </c>
      <c r="N2080" s="1">
        <v>21.12</v>
      </c>
      <c r="O2080" s="1" t="s">
        <v>25</v>
      </c>
      <c r="P2080" s="1">
        <v>-2.2000000000000002</v>
      </c>
      <c r="Q2080" s="1" t="s">
        <v>16</v>
      </c>
      <c r="R2080" s="1" t="str">
        <f>IF(N2080="","",VLOOKUP(N2080,Prior_levels,2,TRUE))</f>
        <v>L</v>
      </c>
    </row>
    <row r="2081" spans="1:18" x14ac:dyDescent="0.2">
      <c r="A2081" s="1" t="s">
        <v>230</v>
      </c>
      <c r="B2081" s="1" t="s">
        <v>10</v>
      </c>
      <c r="C2081" s="2">
        <v>41155</v>
      </c>
      <c r="D2081" s="1">
        <v>10</v>
      </c>
      <c r="E2081" s="1" t="s">
        <v>47</v>
      </c>
      <c r="H2081" s="1" t="s">
        <v>54</v>
      </c>
      <c r="I2081" s="1" t="s">
        <v>12</v>
      </c>
      <c r="J2081" s="1" t="s">
        <v>231</v>
      </c>
      <c r="K2081" s="1" t="s">
        <v>14</v>
      </c>
      <c r="L2081" s="1" t="s">
        <v>12</v>
      </c>
      <c r="M2081" s="1" t="s">
        <v>12</v>
      </c>
      <c r="N2081" s="1">
        <v>21.12</v>
      </c>
      <c r="O2081" s="1" t="s">
        <v>26</v>
      </c>
      <c r="P2081" s="1">
        <v>0</v>
      </c>
      <c r="Q2081" s="1" t="s">
        <v>16</v>
      </c>
      <c r="R2081" s="1" t="str">
        <f>IF(N2081="","",VLOOKUP(N2081,Prior_levels,2,TRUE))</f>
        <v>L</v>
      </c>
    </row>
    <row r="2082" spans="1:18" x14ac:dyDescent="0.2">
      <c r="A2082" s="1" t="s">
        <v>230</v>
      </c>
      <c r="B2082" s="1" t="s">
        <v>10</v>
      </c>
      <c r="C2082" s="2">
        <v>41155</v>
      </c>
      <c r="D2082" s="1">
        <v>10</v>
      </c>
      <c r="E2082" s="1" t="s">
        <v>47</v>
      </c>
      <c r="H2082" s="1" t="s">
        <v>54</v>
      </c>
      <c r="I2082" s="1" t="s">
        <v>12</v>
      </c>
      <c r="J2082" s="1" t="s">
        <v>231</v>
      </c>
      <c r="K2082" s="1" t="s">
        <v>14</v>
      </c>
      <c r="L2082" s="1" t="s">
        <v>12</v>
      </c>
      <c r="M2082" s="1" t="s">
        <v>12</v>
      </c>
      <c r="N2082" s="1">
        <v>21.12</v>
      </c>
      <c r="O2082" s="1" t="s">
        <v>32</v>
      </c>
      <c r="P2082" s="1" t="s">
        <v>28</v>
      </c>
      <c r="Q2082" s="1" t="s">
        <v>16</v>
      </c>
      <c r="R2082" s="1" t="str">
        <f>IF(N2082="","",VLOOKUP(N2082,Prior_levels,2,TRUE))</f>
        <v>L</v>
      </c>
    </row>
    <row r="2083" spans="1:18" x14ac:dyDescent="0.2">
      <c r="A2083" s="1" t="s">
        <v>230</v>
      </c>
      <c r="B2083" s="1" t="s">
        <v>10</v>
      </c>
      <c r="C2083" s="2">
        <v>41155</v>
      </c>
      <c r="D2083" s="1">
        <v>10</v>
      </c>
      <c r="E2083" s="1" t="s">
        <v>47</v>
      </c>
      <c r="H2083" s="1" t="s">
        <v>54</v>
      </c>
      <c r="I2083" s="1" t="s">
        <v>12</v>
      </c>
      <c r="J2083" s="1" t="s">
        <v>231</v>
      </c>
      <c r="K2083" s="1" t="s">
        <v>14</v>
      </c>
      <c r="L2083" s="1" t="s">
        <v>12</v>
      </c>
      <c r="M2083" s="1" t="s">
        <v>12</v>
      </c>
      <c r="N2083" s="1">
        <v>21.12</v>
      </c>
      <c r="O2083" s="1" t="s">
        <v>27</v>
      </c>
      <c r="P2083" s="1" t="s">
        <v>28</v>
      </c>
      <c r="Q2083" s="1" t="s">
        <v>16</v>
      </c>
      <c r="R2083" s="1" t="str">
        <f>IF(N2083="","",VLOOKUP(N2083,Prior_levels,2,TRUE))</f>
        <v>L</v>
      </c>
    </row>
    <row r="2084" spans="1:18" x14ac:dyDescent="0.2">
      <c r="A2084" s="1" t="s">
        <v>230</v>
      </c>
      <c r="B2084" s="1" t="s">
        <v>10</v>
      </c>
      <c r="C2084" s="2">
        <v>41155</v>
      </c>
      <c r="D2084" s="1">
        <v>10</v>
      </c>
      <c r="E2084" s="1" t="s">
        <v>47</v>
      </c>
      <c r="H2084" s="1" t="s">
        <v>54</v>
      </c>
      <c r="I2084" s="1" t="s">
        <v>12</v>
      </c>
      <c r="J2084" s="1" t="s">
        <v>231</v>
      </c>
      <c r="K2084" s="1" t="s">
        <v>14</v>
      </c>
      <c r="L2084" s="1" t="s">
        <v>12</v>
      </c>
      <c r="M2084" s="1" t="s">
        <v>12</v>
      </c>
      <c r="N2084" s="1">
        <v>21.12</v>
      </c>
      <c r="O2084" s="1" t="s">
        <v>29</v>
      </c>
      <c r="P2084" s="1" t="s">
        <v>28</v>
      </c>
      <c r="Q2084" s="1" t="s">
        <v>16</v>
      </c>
      <c r="R2084" s="1" t="str">
        <f>IF(N2084="","",VLOOKUP(N2084,Prior_levels,2,TRUE))</f>
        <v>L</v>
      </c>
    </row>
    <row r="2085" spans="1:18" x14ac:dyDescent="0.2">
      <c r="A2085" s="1" t="s">
        <v>230</v>
      </c>
      <c r="B2085" s="1" t="s">
        <v>10</v>
      </c>
      <c r="C2085" s="2">
        <v>41155</v>
      </c>
      <c r="D2085" s="1">
        <v>10</v>
      </c>
      <c r="E2085" s="1" t="s">
        <v>47</v>
      </c>
      <c r="H2085" s="1" t="s">
        <v>54</v>
      </c>
      <c r="I2085" s="1" t="s">
        <v>12</v>
      </c>
      <c r="J2085" s="1" t="s">
        <v>231</v>
      </c>
      <c r="K2085" s="1" t="s">
        <v>14</v>
      </c>
      <c r="L2085" s="1" t="s">
        <v>12</v>
      </c>
      <c r="M2085" s="1" t="s">
        <v>12</v>
      </c>
      <c r="N2085" s="1">
        <v>21.12</v>
      </c>
      <c r="O2085" s="1" t="s">
        <v>30</v>
      </c>
      <c r="P2085" s="1" t="s">
        <v>28</v>
      </c>
      <c r="Q2085" s="1" t="s">
        <v>16</v>
      </c>
      <c r="R2085" s="1" t="str">
        <f>IF(N2085="","",VLOOKUP(N2085,Prior_levels,2,TRUE))</f>
        <v>L</v>
      </c>
    </row>
    <row r="2086" spans="1:18" x14ac:dyDescent="0.2">
      <c r="A2086" s="1" t="s">
        <v>230</v>
      </c>
      <c r="B2086" s="1" t="s">
        <v>10</v>
      </c>
      <c r="C2086" s="2">
        <v>41155</v>
      </c>
      <c r="D2086" s="1">
        <v>10</v>
      </c>
      <c r="E2086" s="1" t="s">
        <v>47</v>
      </c>
      <c r="H2086" s="1" t="s">
        <v>54</v>
      </c>
      <c r="I2086" s="1" t="s">
        <v>12</v>
      </c>
      <c r="J2086" s="1" t="s">
        <v>231</v>
      </c>
      <c r="K2086" s="1" t="s">
        <v>14</v>
      </c>
      <c r="L2086" s="1" t="s">
        <v>12</v>
      </c>
      <c r="M2086" s="1" t="s">
        <v>12</v>
      </c>
      <c r="N2086" s="1">
        <v>21.12</v>
      </c>
      <c r="O2086" s="1" t="s">
        <v>31</v>
      </c>
      <c r="P2086" s="1" t="s">
        <v>28</v>
      </c>
      <c r="Q2086" s="1" t="s">
        <v>16</v>
      </c>
      <c r="R2086" s="1" t="str">
        <f>IF(N2086="","",VLOOKUP(N2086,Prior_levels,2,TRUE))</f>
        <v>L</v>
      </c>
    </row>
    <row r="2087" spans="1:18" x14ac:dyDescent="0.2">
      <c r="A2087" s="1" t="s">
        <v>232</v>
      </c>
      <c r="B2087" s="1" t="s">
        <v>10</v>
      </c>
      <c r="C2087" s="2">
        <v>41155</v>
      </c>
      <c r="D2087" s="1">
        <v>10</v>
      </c>
      <c r="E2087" s="1" t="s">
        <v>47</v>
      </c>
      <c r="H2087" s="1" t="s">
        <v>54</v>
      </c>
      <c r="I2087" s="1" t="s">
        <v>12</v>
      </c>
      <c r="J2087" s="1" t="s">
        <v>40</v>
      </c>
      <c r="K2087" s="1" t="s">
        <v>14</v>
      </c>
      <c r="L2087" s="1" t="s">
        <v>35</v>
      </c>
      <c r="M2087" s="1" t="s">
        <v>35</v>
      </c>
      <c r="N2087" s="1">
        <v>33.18</v>
      </c>
      <c r="O2087" s="1" t="s">
        <v>15</v>
      </c>
      <c r="P2087" s="1">
        <v>5.85</v>
      </c>
      <c r="Q2087" s="1" t="s">
        <v>16</v>
      </c>
      <c r="R2087" s="1" t="str">
        <f>IF(N2087="","",VLOOKUP(N2087,Prior_levels,2,TRUE))</f>
        <v>H</v>
      </c>
    </row>
    <row r="2088" spans="1:18" x14ac:dyDescent="0.2">
      <c r="A2088" s="1" t="s">
        <v>232</v>
      </c>
      <c r="B2088" s="1" t="s">
        <v>10</v>
      </c>
      <c r="C2088" s="2">
        <v>41155</v>
      </c>
      <c r="D2088" s="1">
        <v>10</v>
      </c>
      <c r="E2088" s="1" t="s">
        <v>47</v>
      </c>
      <c r="H2088" s="1" t="s">
        <v>54</v>
      </c>
      <c r="I2088" s="1" t="s">
        <v>12</v>
      </c>
      <c r="J2088" s="1" t="s">
        <v>40</v>
      </c>
      <c r="K2088" s="1" t="s">
        <v>14</v>
      </c>
      <c r="L2088" s="1" t="s">
        <v>35</v>
      </c>
      <c r="M2088" s="1" t="s">
        <v>35</v>
      </c>
      <c r="N2088" s="1">
        <v>33.18</v>
      </c>
      <c r="O2088" s="1" t="s">
        <v>17</v>
      </c>
      <c r="P2088" s="1">
        <v>-0.7</v>
      </c>
      <c r="Q2088" s="1" t="s">
        <v>16</v>
      </c>
      <c r="R2088" s="1" t="str">
        <f>IF(N2088="","",VLOOKUP(N2088,Prior_levels,2,TRUE))</f>
        <v>H</v>
      </c>
    </row>
    <row r="2089" spans="1:18" x14ac:dyDescent="0.2">
      <c r="A2089" s="1" t="s">
        <v>232</v>
      </c>
      <c r="B2089" s="1" t="s">
        <v>10</v>
      </c>
      <c r="C2089" s="2">
        <v>41155</v>
      </c>
      <c r="D2089" s="1">
        <v>10</v>
      </c>
      <c r="E2089" s="1" t="s">
        <v>47</v>
      </c>
      <c r="H2089" s="1" t="s">
        <v>54</v>
      </c>
      <c r="I2089" s="1" t="s">
        <v>12</v>
      </c>
      <c r="J2089" s="1" t="s">
        <v>40</v>
      </c>
      <c r="K2089" s="1" t="s">
        <v>14</v>
      </c>
      <c r="L2089" s="1" t="s">
        <v>35</v>
      </c>
      <c r="M2089" s="1" t="s">
        <v>35</v>
      </c>
      <c r="N2089" s="1">
        <v>33.18</v>
      </c>
      <c r="O2089" s="1" t="s">
        <v>18</v>
      </c>
      <c r="P2089" s="1">
        <v>14</v>
      </c>
      <c r="Q2089" s="1" t="s">
        <v>16</v>
      </c>
      <c r="R2089" s="1" t="str">
        <f>IF(N2089="","",VLOOKUP(N2089,Prior_levels,2,TRUE))</f>
        <v>H</v>
      </c>
    </row>
    <row r="2090" spans="1:18" x14ac:dyDescent="0.2">
      <c r="A2090" s="1" t="s">
        <v>232</v>
      </c>
      <c r="B2090" s="1" t="s">
        <v>10</v>
      </c>
      <c r="C2090" s="2">
        <v>41155</v>
      </c>
      <c r="D2090" s="1">
        <v>10</v>
      </c>
      <c r="E2090" s="1" t="s">
        <v>47</v>
      </c>
      <c r="H2090" s="1" t="s">
        <v>54</v>
      </c>
      <c r="I2090" s="1" t="s">
        <v>12</v>
      </c>
      <c r="J2090" s="1" t="s">
        <v>40</v>
      </c>
      <c r="K2090" s="1" t="s">
        <v>14</v>
      </c>
      <c r="L2090" s="1" t="s">
        <v>35</v>
      </c>
      <c r="M2090" s="1" t="s">
        <v>35</v>
      </c>
      <c r="N2090" s="1">
        <v>33.18</v>
      </c>
      <c r="O2090" s="1" t="s">
        <v>19</v>
      </c>
      <c r="P2090" s="1">
        <v>10</v>
      </c>
      <c r="Q2090" s="1" t="s">
        <v>16</v>
      </c>
      <c r="R2090" s="1" t="str">
        <f>IF(N2090="","",VLOOKUP(N2090,Prior_levels,2,TRUE))</f>
        <v>H</v>
      </c>
    </row>
    <row r="2091" spans="1:18" x14ac:dyDescent="0.2">
      <c r="A2091" s="1" t="s">
        <v>232</v>
      </c>
      <c r="B2091" s="1" t="s">
        <v>10</v>
      </c>
      <c r="C2091" s="2">
        <v>41155</v>
      </c>
      <c r="D2091" s="1">
        <v>10</v>
      </c>
      <c r="E2091" s="1" t="s">
        <v>47</v>
      </c>
      <c r="H2091" s="1" t="s">
        <v>54</v>
      </c>
      <c r="I2091" s="1" t="s">
        <v>12</v>
      </c>
      <c r="J2091" s="1" t="s">
        <v>40</v>
      </c>
      <c r="K2091" s="1" t="s">
        <v>14</v>
      </c>
      <c r="L2091" s="1" t="s">
        <v>35</v>
      </c>
      <c r="M2091" s="1" t="s">
        <v>35</v>
      </c>
      <c r="N2091" s="1">
        <v>33.18</v>
      </c>
      <c r="O2091" s="1" t="s">
        <v>20</v>
      </c>
      <c r="P2091" s="1">
        <v>15</v>
      </c>
      <c r="Q2091" s="1" t="s">
        <v>16</v>
      </c>
      <c r="R2091" s="1" t="str">
        <f>IF(N2091="","",VLOOKUP(N2091,Prior_levels,2,TRUE))</f>
        <v>H</v>
      </c>
    </row>
    <row r="2092" spans="1:18" x14ac:dyDescent="0.2">
      <c r="A2092" s="1" t="s">
        <v>232</v>
      </c>
      <c r="B2092" s="1" t="s">
        <v>10</v>
      </c>
      <c r="C2092" s="2">
        <v>41155</v>
      </c>
      <c r="D2092" s="1">
        <v>10</v>
      </c>
      <c r="E2092" s="1" t="s">
        <v>47</v>
      </c>
      <c r="H2092" s="1" t="s">
        <v>54</v>
      </c>
      <c r="I2092" s="1" t="s">
        <v>12</v>
      </c>
      <c r="J2092" s="1" t="s">
        <v>40</v>
      </c>
      <c r="K2092" s="1" t="s">
        <v>14</v>
      </c>
      <c r="L2092" s="1" t="s">
        <v>35</v>
      </c>
      <c r="M2092" s="1" t="s">
        <v>35</v>
      </c>
      <c r="N2092" s="1">
        <v>33.18</v>
      </c>
      <c r="O2092" s="1" t="s">
        <v>21</v>
      </c>
      <c r="P2092" s="1">
        <v>19.5</v>
      </c>
      <c r="Q2092" s="1" t="s">
        <v>16</v>
      </c>
      <c r="R2092" s="1" t="str">
        <f>IF(N2092="","",VLOOKUP(N2092,Prior_levels,2,TRUE))</f>
        <v>H</v>
      </c>
    </row>
    <row r="2093" spans="1:18" x14ac:dyDescent="0.2">
      <c r="A2093" s="1" t="s">
        <v>232</v>
      </c>
      <c r="B2093" s="1" t="s">
        <v>10</v>
      </c>
      <c r="C2093" s="2">
        <v>41155</v>
      </c>
      <c r="D2093" s="1">
        <v>10</v>
      </c>
      <c r="E2093" s="1" t="s">
        <v>47</v>
      </c>
      <c r="H2093" s="1" t="s">
        <v>54</v>
      </c>
      <c r="I2093" s="1" t="s">
        <v>12</v>
      </c>
      <c r="J2093" s="1" t="s">
        <v>40</v>
      </c>
      <c r="K2093" s="1" t="s">
        <v>14</v>
      </c>
      <c r="L2093" s="1" t="s">
        <v>35</v>
      </c>
      <c r="M2093" s="1" t="s">
        <v>35</v>
      </c>
      <c r="N2093" s="1">
        <v>33.18</v>
      </c>
      <c r="O2093" s="1" t="s">
        <v>22</v>
      </c>
      <c r="P2093" s="1">
        <v>0.36</v>
      </c>
      <c r="Q2093" s="1" t="s">
        <v>16</v>
      </c>
      <c r="R2093" s="1" t="str">
        <f>IF(N2093="","",VLOOKUP(N2093,Prior_levels,2,TRUE))</f>
        <v>H</v>
      </c>
    </row>
    <row r="2094" spans="1:18" x14ac:dyDescent="0.2">
      <c r="A2094" s="1" t="s">
        <v>232</v>
      </c>
      <c r="B2094" s="1" t="s">
        <v>10</v>
      </c>
      <c r="C2094" s="2">
        <v>41155</v>
      </c>
      <c r="D2094" s="1">
        <v>10</v>
      </c>
      <c r="E2094" s="1" t="s">
        <v>47</v>
      </c>
      <c r="H2094" s="1" t="s">
        <v>54</v>
      </c>
      <c r="I2094" s="1" t="s">
        <v>12</v>
      </c>
      <c r="J2094" s="1" t="s">
        <v>40</v>
      </c>
      <c r="K2094" s="1" t="s">
        <v>14</v>
      </c>
      <c r="L2094" s="1" t="s">
        <v>35</v>
      </c>
      <c r="M2094" s="1" t="s">
        <v>35</v>
      </c>
      <c r="N2094" s="1">
        <v>33.18</v>
      </c>
      <c r="O2094" s="1" t="s">
        <v>23</v>
      </c>
      <c r="P2094" s="1">
        <v>-1.66</v>
      </c>
      <c r="Q2094" s="1" t="s">
        <v>16</v>
      </c>
      <c r="R2094" s="1" t="str">
        <f>IF(N2094="","",VLOOKUP(N2094,Prior_levels,2,TRUE))</f>
        <v>H</v>
      </c>
    </row>
    <row r="2095" spans="1:18" x14ac:dyDescent="0.2">
      <c r="A2095" s="1" t="s">
        <v>232</v>
      </c>
      <c r="B2095" s="1" t="s">
        <v>10</v>
      </c>
      <c r="C2095" s="2">
        <v>41155</v>
      </c>
      <c r="D2095" s="1">
        <v>10</v>
      </c>
      <c r="E2095" s="1" t="s">
        <v>47</v>
      </c>
      <c r="H2095" s="1" t="s">
        <v>54</v>
      </c>
      <c r="I2095" s="1" t="s">
        <v>12</v>
      </c>
      <c r="J2095" s="1" t="s">
        <v>40</v>
      </c>
      <c r="K2095" s="1" t="s">
        <v>14</v>
      </c>
      <c r="L2095" s="1" t="s">
        <v>35</v>
      </c>
      <c r="M2095" s="1" t="s">
        <v>35</v>
      </c>
      <c r="N2095" s="1">
        <v>33.18</v>
      </c>
      <c r="O2095" s="1" t="s">
        <v>24</v>
      </c>
      <c r="P2095" s="1">
        <v>-4.2699999999999996</v>
      </c>
      <c r="Q2095" s="1" t="s">
        <v>16</v>
      </c>
      <c r="R2095" s="1" t="str">
        <f>IF(N2095="","",VLOOKUP(N2095,Prior_levels,2,TRUE))</f>
        <v>H</v>
      </c>
    </row>
    <row r="2096" spans="1:18" x14ac:dyDescent="0.2">
      <c r="A2096" s="1" t="s">
        <v>232</v>
      </c>
      <c r="B2096" s="1" t="s">
        <v>10</v>
      </c>
      <c r="C2096" s="2">
        <v>41155</v>
      </c>
      <c r="D2096" s="1">
        <v>10</v>
      </c>
      <c r="E2096" s="1" t="s">
        <v>47</v>
      </c>
      <c r="H2096" s="1" t="s">
        <v>54</v>
      </c>
      <c r="I2096" s="1" t="s">
        <v>12</v>
      </c>
      <c r="J2096" s="1" t="s">
        <v>40</v>
      </c>
      <c r="K2096" s="1" t="s">
        <v>14</v>
      </c>
      <c r="L2096" s="1" t="s">
        <v>35</v>
      </c>
      <c r="M2096" s="1" t="s">
        <v>35</v>
      </c>
      <c r="N2096" s="1">
        <v>33.18</v>
      </c>
      <c r="O2096" s="1" t="s">
        <v>25</v>
      </c>
      <c r="P2096" s="1">
        <v>-0.12</v>
      </c>
      <c r="Q2096" s="1" t="s">
        <v>16</v>
      </c>
      <c r="R2096" s="1" t="str">
        <f>IF(N2096="","",VLOOKUP(N2096,Prior_levels,2,TRUE))</f>
        <v>H</v>
      </c>
    </row>
    <row r="2097" spans="1:18" x14ac:dyDescent="0.2">
      <c r="A2097" s="1" t="s">
        <v>232</v>
      </c>
      <c r="B2097" s="1" t="s">
        <v>10</v>
      </c>
      <c r="C2097" s="2">
        <v>41155</v>
      </c>
      <c r="D2097" s="1">
        <v>10</v>
      </c>
      <c r="E2097" s="1" t="s">
        <v>47</v>
      </c>
      <c r="H2097" s="1" t="s">
        <v>54</v>
      </c>
      <c r="I2097" s="1" t="s">
        <v>12</v>
      </c>
      <c r="J2097" s="1" t="s">
        <v>40</v>
      </c>
      <c r="K2097" s="1" t="s">
        <v>14</v>
      </c>
      <c r="L2097" s="1" t="s">
        <v>35</v>
      </c>
      <c r="M2097" s="1" t="s">
        <v>35</v>
      </c>
      <c r="N2097" s="1">
        <v>33.18</v>
      </c>
      <c r="O2097" s="1" t="s">
        <v>26</v>
      </c>
      <c r="P2097" s="1">
        <v>11</v>
      </c>
      <c r="Q2097" s="1" t="s">
        <v>16</v>
      </c>
      <c r="R2097" s="1" t="str">
        <f>IF(N2097="","",VLOOKUP(N2097,Prior_levels,2,TRUE))</f>
        <v>H</v>
      </c>
    </row>
    <row r="2098" spans="1:18" x14ac:dyDescent="0.2">
      <c r="A2098" s="1" t="s">
        <v>232</v>
      </c>
      <c r="B2098" s="1" t="s">
        <v>10</v>
      </c>
      <c r="C2098" s="2">
        <v>41155</v>
      </c>
      <c r="D2098" s="1">
        <v>10</v>
      </c>
      <c r="E2098" s="1" t="s">
        <v>47</v>
      </c>
      <c r="H2098" s="1" t="s">
        <v>54</v>
      </c>
      <c r="I2098" s="1" t="s">
        <v>12</v>
      </c>
      <c r="J2098" s="1" t="s">
        <v>40</v>
      </c>
      <c r="K2098" s="1" t="s">
        <v>14</v>
      </c>
      <c r="L2098" s="1" t="s">
        <v>35</v>
      </c>
      <c r="M2098" s="1" t="s">
        <v>35</v>
      </c>
      <c r="N2098" s="1">
        <v>33.18</v>
      </c>
      <c r="O2098" s="1" t="s">
        <v>32</v>
      </c>
      <c r="P2098" s="1" t="s">
        <v>37</v>
      </c>
      <c r="Q2098" s="1" t="s">
        <v>16</v>
      </c>
      <c r="R2098" s="1" t="str">
        <f>IF(N2098="","",VLOOKUP(N2098,Prior_levels,2,TRUE))</f>
        <v>H</v>
      </c>
    </row>
    <row r="2099" spans="1:18" x14ac:dyDescent="0.2">
      <c r="A2099" s="1" t="s">
        <v>232</v>
      </c>
      <c r="B2099" s="1" t="s">
        <v>10</v>
      </c>
      <c r="C2099" s="2">
        <v>41155</v>
      </c>
      <c r="D2099" s="1">
        <v>10</v>
      </c>
      <c r="E2099" s="1" t="s">
        <v>47</v>
      </c>
      <c r="H2099" s="1" t="s">
        <v>54</v>
      </c>
      <c r="I2099" s="1" t="s">
        <v>12</v>
      </c>
      <c r="J2099" s="1" t="s">
        <v>40</v>
      </c>
      <c r="K2099" s="1" t="s">
        <v>14</v>
      </c>
      <c r="L2099" s="1" t="s">
        <v>35</v>
      </c>
      <c r="M2099" s="1" t="s">
        <v>35</v>
      </c>
      <c r="N2099" s="1">
        <v>33.18</v>
      </c>
      <c r="O2099" s="1" t="s">
        <v>27</v>
      </c>
      <c r="P2099" s="1" t="s">
        <v>37</v>
      </c>
      <c r="Q2099" s="1" t="s">
        <v>16</v>
      </c>
      <c r="R2099" s="1" t="str">
        <f>IF(N2099="","",VLOOKUP(N2099,Prior_levels,2,TRUE))</f>
        <v>H</v>
      </c>
    </row>
    <row r="2100" spans="1:18" x14ac:dyDescent="0.2">
      <c r="A2100" s="1" t="s">
        <v>232</v>
      </c>
      <c r="B2100" s="1" t="s">
        <v>10</v>
      </c>
      <c r="C2100" s="2">
        <v>41155</v>
      </c>
      <c r="D2100" s="1">
        <v>10</v>
      </c>
      <c r="E2100" s="1" t="s">
        <v>47</v>
      </c>
      <c r="H2100" s="1" t="s">
        <v>54</v>
      </c>
      <c r="I2100" s="1" t="s">
        <v>12</v>
      </c>
      <c r="J2100" s="1" t="s">
        <v>40</v>
      </c>
      <c r="K2100" s="1" t="s">
        <v>14</v>
      </c>
      <c r="L2100" s="1" t="s">
        <v>35</v>
      </c>
      <c r="M2100" s="1" t="s">
        <v>35</v>
      </c>
      <c r="N2100" s="1">
        <v>33.18</v>
      </c>
      <c r="O2100" s="1" t="s">
        <v>29</v>
      </c>
      <c r="P2100" s="1" t="s">
        <v>37</v>
      </c>
      <c r="Q2100" s="1" t="s">
        <v>16</v>
      </c>
      <c r="R2100" s="1" t="str">
        <f>IF(N2100="","",VLOOKUP(N2100,Prior_levels,2,TRUE))</f>
        <v>H</v>
      </c>
    </row>
    <row r="2101" spans="1:18" x14ac:dyDescent="0.2">
      <c r="A2101" s="1" t="s">
        <v>232</v>
      </c>
      <c r="B2101" s="1" t="s">
        <v>10</v>
      </c>
      <c r="C2101" s="2">
        <v>41155</v>
      </c>
      <c r="D2101" s="1">
        <v>10</v>
      </c>
      <c r="E2101" s="1" t="s">
        <v>47</v>
      </c>
      <c r="H2101" s="1" t="s">
        <v>54</v>
      </c>
      <c r="I2101" s="1" t="s">
        <v>12</v>
      </c>
      <c r="J2101" s="1" t="s">
        <v>40</v>
      </c>
      <c r="K2101" s="1" t="s">
        <v>14</v>
      </c>
      <c r="L2101" s="1" t="s">
        <v>35</v>
      </c>
      <c r="M2101" s="1" t="s">
        <v>35</v>
      </c>
      <c r="N2101" s="1">
        <v>33.18</v>
      </c>
      <c r="O2101" s="1" t="s">
        <v>30</v>
      </c>
      <c r="P2101" s="1" t="s">
        <v>37</v>
      </c>
      <c r="Q2101" s="1" t="s">
        <v>16</v>
      </c>
      <c r="R2101" s="1" t="str">
        <f>IF(N2101="","",VLOOKUP(N2101,Prior_levels,2,TRUE))</f>
        <v>H</v>
      </c>
    </row>
    <row r="2102" spans="1:18" x14ac:dyDescent="0.2">
      <c r="A2102" s="1" t="s">
        <v>232</v>
      </c>
      <c r="B2102" s="1" t="s">
        <v>10</v>
      </c>
      <c r="C2102" s="2">
        <v>41155</v>
      </c>
      <c r="D2102" s="1">
        <v>10</v>
      </c>
      <c r="E2102" s="1" t="s">
        <v>47</v>
      </c>
      <c r="H2102" s="1" t="s">
        <v>54</v>
      </c>
      <c r="I2102" s="1" t="s">
        <v>12</v>
      </c>
      <c r="J2102" s="1" t="s">
        <v>40</v>
      </c>
      <c r="K2102" s="1" t="s">
        <v>14</v>
      </c>
      <c r="L2102" s="1" t="s">
        <v>35</v>
      </c>
      <c r="M2102" s="1" t="s">
        <v>35</v>
      </c>
      <c r="N2102" s="1">
        <v>33.18</v>
      </c>
      <c r="O2102" s="1" t="s">
        <v>31</v>
      </c>
      <c r="P2102" s="1" t="s">
        <v>37</v>
      </c>
      <c r="Q2102" s="1" t="s">
        <v>16</v>
      </c>
      <c r="R2102" s="1" t="str">
        <f>IF(N2102="","",VLOOKUP(N2102,Prior_levels,2,TRUE))</f>
        <v>H</v>
      </c>
    </row>
    <row r="2103" spans="1:18" x14ac:dyDescent="0.2">
      <c r="A2103" s="1" t="s">
        <v>233</v>
      </c>
      <c r="B2103" s="1" t="s">
        <v>12</v>
      </c>
      <c r="C2103" s="2">
        <v>41155</v>
      </c>
      <c r="D2103" s="1">
        <v>10</v>
      </c>
      <c r="E2103" s="1" t="s">
        <v>34</v>
      </c>
      <c r="H2103" s="1" t="s">
        <v>54</v>
      </c>
      <c r="I2103" s="1" t="s">
        <v>12</v>
      </c>
      <c r="J2103" s="1" t="s">
        <v>118</v>
      </c>
      <c r="K2103" s="1" t="s">
        <v>118</v>
      </c>
      <c r="L2103" s="1" t="s">
        <v>12</v>
      </c>
      <c r="M2103" s="1" t="s">
        <v>12</v>
      </c>
      <c r="N2103" s="1">
        <v>21.12</v>
      </c>
      <c r="O2103" s="1" t="s">
        <v>15</v>
      </c>
      <c r="P2103" s="1">
        <v>3.1</v>
      </c>
      <c r="Q2103" s="1" t="s">
        <v>16</v>
      </c>
      <c r="R2103" s="1" t="str">
        <f>IF(N2103="","",VLOOKUP(N2103,Prior_levels,2,TRUE))</f>
        <v>L</v>
      </c>
    </row>
    <row r="2104" spans="1:18" x14ac:dyDescent="0.2">
      <c r="A2104" s="1" t="s">
        <v>233</v>
      </c>
      <c r="B2104" s="1" t="s">
        <v>12</v>
      </c>
      <c r="C2104" s="2">
        <v>41155</v>
      </c>
      <c r="D2104" s="1">
        <v>10</v>
      </c>
      <c r="E2104" s="1" t="s">
        <v>34</v>
      </c>
      <c r="H2104" s="1" t="s">
        <v>54</v>
      </c>
      <c r="I2104" s="1" t="s">
        <v>12</v>
      </c>
      <c r="J2104" s="1" t="s">
        <v>118</v>
      </c>
      <c r="K2104" s="1" t="s">
        <v>118</v>
      </c>
      <c r="L2104" s="1" t="s">
        <v>12</v>
      </c>
      <c r="M2104" s="1" t="s">
        <v>12</v>
      </c>
      <c r="N2104" s="1">
        <v>21.12</v>
      </c>
      <c r="O2104" s="1" t="s">
        <v>17</v>
      </c>
      <c r="P2104" s="1">
        <v>0.27</v>
      </c>
      <c r="Q2104" s="1" t="s">
        <v>16</v>
      </c>
      <c r="R2104" s="1" t="str">
        <f>IF(N2104="","",VLOOKUP(N2104,Prior_levels,2,TRUE))</f>
        <v>L</v>
      </c>
    </row>
    <row r="2105" spans="1:18" x14ac:dyDescent="0.2">
      <c r="A2105" s="1" t="s">
        <v>233</v>
      </c>
      <c r="B2105" s="1" t="s">
        <v>12</v>
      </c>
      <c r="C2105" s="2">
        <v>41155</v>
      </c>
      <c r="D2105" s="1">
        <v>10</v>
      </c>
      <c r="E2105" s="1" t="s">
        <v>34</v>
      </c>
      <c r="H2105" s="1" t="s">
        <v>54</v>
      </c>
      <c r="I2105" s="1" t="s">
        <v>12</v>
      </c>
      <c r="J2105" s="1" t="s">
        <v>118</v>
      </c>
      <c r="K2105" s="1" t="s">
        <v>118</v>
      </c>
      <c r="L2105" s="1" t="s">
        <v>12</v>
      </c>
      <c r="M2105" s="1" t="s">
        <v>12</v>
      </c>
      <c r="N2105" s="1">
        <v>21.12</v>
      </c>
      <c r="O2105" s="1" t="s">
        <v>18</v>
      </c>
      <c r="P2105" s="1">
        <v>8</v>
      </c>
      <c r="Q2105" s="1" t="s">
        <v>16</v>
      </c>
      <c r="R2105" s="1" t="str">
        <f>IF(N2105="","",VLOOKUP(N2105,Prior_levels,2,TRUE))</f>
        <v>L</v>
      </c>
    </row>
    <row r="2106" spans="1:18" x14ac:dyDescent="0.2">
      <c r="A2106" s="1" t="s">
        <v>233</v>
      </c>
      <c r="B2106" s="1" t="s">
        <v>12</v>
      </c>
      <c r="C2106" s="2">
        <v>41155</v>
      </c>
      <c r="D2106" s="1">
        <v>10</v>
      </c>
      <c r="E2106" s="1" t="s">
        <v>34</v>
      </c>
      <c r="H2106" s="1" t="s">
        <v>54</v>
      </c>
      <c r="I2106" s="1" t="s">
        <v>12</v>
      </c>
      <c r="J2106" s="1" t="s">
        <v>118</v>
      </c>
      <c r="K2106" s="1" t="s">
        <v>118</v>
      </c>
      <c r="L2106" s="1" t="s">
        <v>12</v>
      </c>
      <c r="M2106" s="1" t="s">
        <v>12</v>
      </c>
      <c r="N2106" s="1">
        <v>21.12</v>
      </c>
      <c r="O2106" s="1" t="s">
        <v>19</v>
      </c>
      <c r="P2106" s="1">
        <v>6</v>
      </c>
      <c r="Q2106" s="1" t="s">
        <v>16</v>
      </c>
      <c r="R2106" s="1" t="str">
        <f>IF(N2106="","",VLOOKUP(N2106,Prior_levels,2,TRUE))</f>
        <v>L</v>
      </c>
    </row>
    <row r="2107" spans="1:18" x14ac:dyDescent="0.2">
      <c r="A2107" s="1" t="s">
        <v>233</v>
      </c>
      <c r="B2107" s="1" t="s">
        <v>12</v>
      </c>
      <c r="C2107" s="2">
        <v>41155</v>
      </c>
      <c r="D2107" s="1">
        <v>10</v>
      </c>
      <c r="E2107" s="1" t="s">
        <v>34</v>
      </c>
      <c r="H2107" s="1" t="s">
        <v>54</v>
      </c>
      <c r="I2107" s="1" t="s">
        <v>12</v>
      </c>
      <c r="J2107" s="1" t="s">
        <v>118</v>
      </c>
      <c r="K2107" s="1" t="s">
        <v>118</v>
      </c>
      <c r="L2107" s="1" t="s">
        <v>12</v>
      </c>
      <c r="M2107" s="1" t="s">
        <v>12</v>
      </c>
      <c r="N2107" s="1">
        <v>21.12</v>
      </c>
      <c r="O2107" s="1" t="s">
        <v>20</v>
      </c>
      <c r="P2107" s="1">
        <v>7</v>
      </c>
      <c r="Q2107" s="1" t="s">
        <v>16</v>
      </c>
      <c r="R2107" s="1" t="str">
        <f>IF(N2107="","",VLOOKUP(N2107,Prior_levels,2,TRUE))</f>
        <v>L</v>
      </c>
    </row>
    <row r="2108" spans="1:18" x14ac:dyDescent="0.2">
      <c r="A2108" s="1" t="s">
        <v>233</v>
      </c>
      <c r="B2108" s="1" t="s">
        <v>12</v>
      </c>
      <c r="C2108" s="2">
        <v>41155</v>
      </c>
      <c r="D2108" s="1">
        <v>10</v>
      </c>
      <c r="E2108" s="1" t="s">
        <v>34</v>
      </c>
      <c r="H2108" s="1" t="s">
        <v>54</v>
      </c>
      <c r="I2108" s="1" t="s">
        <v>12</v>
      </c>
      <c r="J2108" s="1" t="s">
        <v>118</v>
      </c>
      <c r="K2108" s="1" t="s">
        <v>118</v>
      </c>
      <c r="L2108" s="1" t="s">
        <v>12</v>
      </c>
      <c r="M2108" s="1" t="s">
        <v>12</v>
      </c>
      <c r="N2108" s="1">
        <v>21.12</v>
      </c>
      <c r="O2108" s="1" t="s">
        <v>21</v>
      </c>
      <c r="P2108" s="1">
        <v>10</v>
      </c>
      <c r="Q2108" s="1" t="s">
        <v>16</v>
      </c>
      <c r="R2108" s="1" t="str">
        <f>IF(N2108="","",VLOOKUP(N2108,Prior_levels,2,TRUE))</f>
        <v>L</v>
      </c>
    </row>
    <row r="2109" spans="1:18" x14ac:dyDescent="0.2">
      <c r="A2109" s="1" t="s">
        <v>233</v>
      </c>
      <c r="B2109" s="1" t="s">
        <v>12</v>
      </c>
      <c r="C2109" s="2">
        <v>41155</v>
      </c>
      <c r="D2109" s="1">
        <v>10</v>
      </c>
      <c r="E2109" s="1" t="s">
        <v>34</v>
      </c>
      <c r="H2109" s="1" t="s">
        <v>54</v>
      </c>
      <c r="I2109" s="1" t="s">
        <v>12</v>
      </c>
      <c r="J2109" s="1" t="s">
        <v>118</v>
      </c>
      <c r="K2109" s="1" t="s">
        <v>118</v>
      </c>
      <c r="L2109" s="1" t="s">
        <v>12</v>
      </c>
      <c r="M2109" s="1" t="s">
        <v>12</v>
      </c>
      <c r="N2109" s="1">
        <v>21.12</v>
      </c>
      <c r="O2109" s="1" t="s">
        <v>22</v>
      </c>
      <c r="P2109" s="1">
        <v>0.34</v>
      </c>
      <c r="Q2109" s="1" t="s">
        <v>16</v>
      </c>
      <c r="R2109" s="1" t="str">
        <f>IF(N2109="","",VLOOKUP(N2109,Prior_levels,2,TRUE))</f>
        <v>L</v>
      </c>
    </row>
    <row r="2110" spans="1:18" x14ac:dyDescent="0.2">
      <c r="A2110" s="1" t="s">
        <v>233</v>
      </c>
      <c r="B2110" s="1" t="s">
        <v>12</v>
      </c>
      <c r="C2110" s="2">
        <v>41155</v>
      </c>
      <c r="D2110" s="1">
        <v>10</v>
      </c>
      <c r="E2110" s="1" t="s">
        <v>34</v>
      </c>
      <c r="H2110" s="1" t="s">
        <v>54</v>
      </c>
      <c r="I2110" s="1" t="s">
        <v>12</v>
      </c>
      <c r="J2110" s="1" t="s">
        <v>118</v>
      </c>
      <c r="K2110" s="1" t="s">
        <v>118</v>
      </c>
      <c r="L2110" s="1" t="s">
        <v>12</v>
      </c>
      <c r="M2110" s="1" t="s">
        <v>12</v>
      </c>
      <c r="N2110" s="1">
        <v>21.12</v>
      </c>
      <c r="O2110" s="1" t="s">
        <v>23</v>
      </c>
      <c r="P2110" s="1">
        <v>0.39</v>
      </c>
      <c r="Q2110" s="1" t="s">
        <v>16</v>
      </c>
      <c r="R2110" s="1" t="str">
        <f>IF(N2110="","",VLOOKUP(N2110,Prior_levels,2,TRUE))</f>
        <v>L</v>
      </c>
    </row>
    <row r="2111" spans="1:18" x14ac:dyDescent="0.2">
      <c r="A2111" s="1" t="s">
        <v>233</v>
      </c>
      <c r="B2111" s="1" t="s">
        <v>12</v>
      </c>
      <c r="C2111" s="2">
        <v>41155</v>
      </c>
      <c r="D2111" s="1">
        <v>10</v>
      </c>
      <c r="E2111" s="1" t="s">
        <v>34</v>
      </c>
      <c r="H2111" s="1" t="s">
        <v>54</v>
      </c>
      <c r="I2111" s="1" t="s">
        <v>12</v>
      </c>
      <c r="J2111" s="1" t="s">
        <v>118</v>
      </c>
      <c r="K2111" s="1" t="s">
        <v>118</v>
      </c>
      <c r="L2111" s="1" t="s">
        <v>12</v>
      </c>
      <c r="M2111" s="1" t="s">
        <v>12</v>
      </c>
      <c r="N2111" s="1">
        <v>21.12</v>
      </c>
      <c r="O2111" s="1" t="s">
        <v>24</v>
      </c>
      <c r="P2111" s="1">
        <v>2.4900000000000002</v>
      </c>
      <c r="Q2111" s="1" t="s">
        <v>16</v>
      </c>
      <c r="R2111" s="1" t="str">
        <f>IF(N2111="","",VLOOKUP(N2111,Prior_levels,2,TRUE))</f>
        <v>L</v>
      </c>
    </row>
    <row r="2112" spans="1:18" x14ac:dyDescent="0.2">
      <c r="A2112" s="1" t="s">
        <v>233</v>
      </c>
      <c r="B2112" s="1" t="s">
        <v>12</v>
      </c>
      <c r="C2112" s="2">
        <v>41155</v>
      </c>
      <c r="D2112" s="1">
        <v>10</v>
      </c>
      <c r="E2112" s="1" t="s">
        <v>34</v>
      </c>
      <c r="H2112" s="1" t="s">
        <v>54</v>
      </c>
      <c r="I2112" s="1" t="s">
        <v>12</v>
      </c>
      <c r="J2112" s="1" t="s">
        <v>118</v>
      </c>
      <c r="K2112" s="1" t="s">
        <v>118</v>
      </c>
      <c r="L2112" s="1" t="s">
        <v>12</v>
      </c>
      <c r="M2112" s="1" t="s">
        <v>12</v>
      </c>
      <c r="N2112" s="1">
        <v>21.12</v>
      </c>
      <c r="O2112" s="1" t="s">
        <v>25</v>
      </c>
      <c r="P2112" s="1">
        <v>-1.2</v>
      </c>
      <c r="Q2112" s="1" t="s">
        <v>16</v>
      </c>
      <c r="R2112" s="1" t="str">
        <f>IF(N2112="","",VLOOKUP(N2112,Prior_levels,2,TRUE))</f>
        <v>L</v>
      </c>
    </row>
    <row r="2113" spans="1:18" x14ac:dyDescent="0.2">
      <c r="A2113" s="1" t="s">
        <v>233</v>
      </c>
      <c r="B2113" s="1" t="s">
        <v>12</v>
      </c>
      <c r="C2113" s="2">
        <v>41155</v>
      </c>
      <c r="D2113" s="1">
        <v>10</v>
      </c>
      <c r="E2113" s="1" t="s">
        <v>34</v>
      </c>
      <c r="H2113" s="1" t="s">
        <v>54</v>
      </c>
      <c r="I2113" s="1" t="s">
        <v>12</v>
      </c>
      <c r="J2113" s="1" t="s">
        <v>118</v>
      </c>
      <c r="K2113" s="1" t="s">
        <v>118</v>
      </c>
      <c r="L2113" s="1" t="s">
        <v>12</v>
      </c>
      <c r="M2113" s="1" t="s">
        <v>12</v>
      </c>
      <c r="N2113" s="1">
        <v>21.12</v>
      </c>
      <c r="O2113" s="1" t="s">
        <v>26</v>
      </c>
      <c r="P2113" s="1">
        <v>0</v>
      </c>
      <c r="Q2113" s="1" t="s">
        <v>16</v>
      </c>
      <c r="R2113" s="1" t="str">
        <f>IF(N2113="","",VLOOKUP(N2113,Prior_levels,2,TRUE))</f>
        <v>L</v>
      </c>
    </row>
    <row r="2114" spans="1:18" x14ac:dyDescent="0.2">
      <c r="A2114" s="1" t="s">
        <v>233</v>
      </c>
      <c r="B2114" s="1" t="s">
        <v>12</v>
      </c>
      <c r="C2114" s="2">
        <v>41155</v>
      </c>
      <c r="D2114" s="1">
        <v>10</v>
      </c>
      <c r="E2114" s="1" t="s">
        <v>34</v>
      </c>
      <c r="H2114" s="1" t="s">
        <v>54</v>
      </c>
      <c r="I2114" s="1" t="s">
        <v>12</v>
      </c>
      <c r="J2114" s="1" t="s">
        <v>118</v>
      </c>
      <c r="K2114" s="1" t="s">
        <v>118</v>
      </c>
      <c r="L2114" s="1" t="s">
        <v>12</v>
      </c>
      <c r="M2114" s="1" t="s">
        <v>12</v>
      </c>
      <c r="N2114" s="1">
        <v>21.12</v>
      </c>
      <c r="O2114" s="1" t="s">
        <v>27</v>
      </c>
      <c r="P2114" s="1" t="s">
        <v>28</v>
      </c>
      <c r="Q2114" s="1" t="s">
        <v>16</v>
      </c>
      <c r="R2114" s="1" t="str">
        <f>IF(N2114="","",VLOOKUP(N2114,Prior_levels,2,TRUE))</f>
        <v>L</v>
      </c>
    </row>
    <row r="2115" spans="1:18" x14ac:dyDescent="0.2">
      <c r="A2115" s="1" t="s">
        <v>233</v>
      </c>
      <c r="B2115" s="1" t="s">
        <v>12</v>
      </c>
      <c r="C2115" s="2">
        <v>41155</v>
      </c>
      <c r="D2115" s="1">
        <v>10</v>
      </c>
      <c r="E2115" s="1" t="s">
        <v>34</v>
      </c>
      <c r="H2115" s="1" t="s">
        <v>54</v>
      </c>
      <c r="I2115" s="1" t="s">
        <v>12</v>
      </c>
      <c r="J2115" s="1" t="s">
        <v>118</v>
      </c>
      <c r="K2115" s="1" t="s">
        <v>118</v>
      </c>
      <c r="L2115" s="1" t="s">
        <v>12</v>
      </c>
      <c r="M2115" s="1" t="s">
        <v>12</v>
      </c>
      <c r="N2115" s="1">
        <v>21.12</v>
      </c>
      <c r="O2115" s="1" t="s">
        <v>29</v>
      </c>
      <c r="P2115" s="1" t="s">
        <v>28</v>
      </c>
      <c r="Q2115" s="1" t="s">
        <v>16</v>
      </c>
      <c r="R2115" s="1" t="str">
        <f>IF(N2115="","",VLOOKUP(N2115,Prior_levels,2,TRUE))</f>
        <v>L</v>
      </c>
    </row>
    <row r="2116" spans="1:18" x14ac:dyDescent="0.2">
      <c r="A2116" s="1" t="s">
        <v>233</v>
      </c>
      <c r="B2116" s="1" t="s">
        <v>12</v>
      </c>
      <c r="C2116" s="2">
        <v>41155</v>
      </c>
      <c r="D2116" s="1">
        <v>10</v>
      </c>
      <c r="E2116" s="1" t="s">
        <v>34</v>
      </c>
      <c r="H2116" s="1" t="s">
        <v>54</v>
      </c>
      <c r="I2116" s="1" t="s">
        <v>12</v>
      </c>
      <c r="J2116" s="1" t="s">
        <v>118</v>
      </c>
      <c r="K2116" s="1" t="s">
        <v>118</v>
      </c>
      <c r="L2116" s="1" t="s">
        <v>12</v>
      </c>
      <c r="M2116" s="1" t="s">
        <v>12</v>
      </c>
      <c r="N2116" s="1">
        <v>21.12</v>
      </c>
      <c r="O2116" s="1" t="s">
        <v>30</v>
      </c>
      <c r="P2116" s="1" t="s">
        <v>28</v>
      </c>
      <c r="Q2116" s="1" t="s">
        <v>16</v>
      </c>
      <c r="R2116" s="1" t="str">
        <f>IF(N2116="","",VLOOKUP(N2116,Prior_levels,2,TRUE))</f>
        <v>L</v>
      </c>
    </row>
    <row r="2117" spans="1:18" x14ac:dyDescent="0.2">
      <c r="A2117" s="1" t="s">
        <v>233</v>
      </c>
      <c r="B2117" s="1" t="s">
        <v>12</v>
      </c>
      <c r="C2117" s="2">
        <v>41155</v>
      </c>
      <c r="D2117" s="1">
        <v>10</v>
      </c>
      <c r="E2117" s="1" t="s">
        <v>34</v>
      </c>
      <c r="H2117" s="1" t="s">
        <v>54</v>
      </c>
      <c r="I2117" s="1" t="s">
        <v>12</v>
      </c>
      <c r="J2117" s="1" t="s">
        <v>118</v>
      </c>
      <c r="K2117" s="1" t="s">
        <v>118</v>
      </c>
      <c r="L2117" s="1" t="s">
        <v>12</v>
      </c>
      <c r="M2117" s="1" t="s">
        <v>12</v>
      </c>
      <c r="N2117" s="1">
        <v>21.12</v>
      </c>
      <c r="O2117" s="1" t="s">
        <v>31</v>
      </c>
      <c r="P2117" s="1" t="s">
        <v>28</v>
      </c>
      <c r="Q2117" s="1" t="s">
        <v>16</v>
      </c>
      <c r="R2117" s="1" t="str">
        <f>IF(N2117="","",VLOOKUP(N2117,Prior_levels,2,TRUE))</f>
        <v>L</v>
      </c>
    </row>
    <row r="2118" spans="1:18" x14ac:dyDescent="0.2">
      <c r="A2118" s="1" t="s">
        <v>233</v>
      </c>
      <c r="B2118" s="1" t="s">
        <v>12</v>
      </c>
      <c r="C2118" s="2">
        <v>41155</v>
      </c>
      <c r="D2118" s="1">
        <v>10</v>
      </c>
      <c r="E2118" s="1" t="s">
        <v>34</v>
      </c>
      <c r="H2118" s="1" t="s">
        <v>54</v>
      </c>
      <c r="I2118" s="1" t="s">
        <v>12</v>
      </c>
      <c r="J2118" s="1" t="s">
        <v>118</v>
      </c>
      <c r="K2118" s="1" t="s">
        <v>118</v>
      </c>
      <c r="L2118" s="1" t="s">
        <v>12</v>
      </c>
      <c r="M2118" s="1" t="s">
        <v>12</v>
      </c>
      <c r="N2118" s="1">
        <v>21.12</v>
      </c>
      <c r="O2118" s="1" t="s">
        <v>32</v>
      </c>
      <c r="P2118" s="1" t="s">
        <v>28</v>
      </c>
      <c r="Q2118" s="1" t="s">
        <v>16</v>
      </c>
      <c r="R2118" s="1" t="str">
        <f>IF(N2118="","",VLOOKUP(N2118,Prior_levels,2,TRUE))</f>
        <v>L</v>
      </c>
    </row>
    <row r="2119" spans="1:18" x14ac:dyDescent="0.2">
      <c r="A2119" s="1" t="s">
        <v>234</v>
      </c>
      <c r="B2119" s="1" t="s">
        <v>10</v>
      </c>
      <c r="C2119" s="2">
        <v>41155</v>
      </c>
      <c r="D2119" s="1">
        <v>10</v>
      </c>
      <c r="E2119" s="1" t="s">
        <v>11</v>
      </c>
      <c r="H2119" s="1" t="s">
        <v>54</v>
      </c>
      <c r="I2119" s="1" t="s">
        <v>12</v>
      </c>
      <c r="J2119" s="1" t="s">
        <v>196</v>
      </c>
      <c r="K2119" s="1" t="s">
        <v>196</v>
      </c>
      <c r="L2119" s="1" t="s">
        <v>12</v>
      </c>
      <c r="M2119" s="1" t="s">
        <v>12</v>
      </c>
      <c r="N2119" s="1">
        <v>21.12</v>
      </c>
      <c r="O2119" s="1" t="s">
        <v>15</v>
      </c>
      <c r="P2119" s="1">
        <v>4</v>
      </c>
      <c r="Q2119" s="1" t="s">
        <v>16</v>
      </c>
      <c r="R2119" s="1" t="str">
        <f>IF(N2119="","",VLOOKUP(N2119,Prior_levels,2,TRUE))</f>
        <v>L</v>
      </c>
    </row>
    <row r="2120" spans="1:18" x14ac:dyDescent="0.2">
      <c r="A2120" s="1" t="s">
        <v>234</v>
      </c>
      <c r="B2120" s="1" t="s">
        <v>10</v>
      </c>
      <c r="C2120" s="2">
        <v>41155</v>
      </c>
      <c r="D2120" s="1">
        <v>10</v>
      </c>
      <c r="E2120" s="1" t="s">
        <v>11</v>
      </c>
      <c r="H2120" s="1" t="s">
        <v>54</v>
      </c>
      <c r="I2120" s="1" t="s">
        <v>12</v>
      </c>
      <c r="J2120" s="1" t="s">
        <v>196</v>
      </c>
      <c r="K2120" s="1" t="s">
        <v>196</v>
      </c>
      <c r="L2120" s="1" t="s">
        <v>12</v>
      </c>
      <c r="M2120" s="1" t="s">
        <v>12</v>
      </c>
      <c r="N2120" s="1">
        <v>21.12</v>
      </c>
      <c r="O2120" s="1" t="s">
        <v>17</v>
      </c>
      <c r="P2120" s="1">
        <v>1.17</v>
      </c>
      <c r="Q2120" s="1" t="s">
        <v>16</v>
      </c>
      <c r="R2120" s="1" t="str">
        <f>IF(N2120="","",VLOOKUP(N2120,Prior_levels,2,TRUE))</f>
        <v>L</v>
      </c>
    </row>
    <row r="2121" spans="1:18" x14ac:dyDescent="0.2">
      <c r="A2121" s="1" t="s">
        <v>234</v>
      </c>
      <c r="B2121" s="1" t="s">
        <v>10</v>
      </c>
      <c r="C2121" s="2">
        <v>41155</v>
      </c>
      <c r="D2121" s="1">
        <v>10</v>
      </c>
      <c r="E2121" s="1" t="s">
        <v>11</v>
      </c>
      <c r="H2121" s="1" t="s">
        <v>54</v>
      </c>
      <c r="I2121" s="1" t="s">
        <v>12</v>
      </c>
      <c r="J2121" s="1" t="s">
        <v>196</v>
      </c>
      <c r="K2121" s="1" t="s">
        <v>196</v>
      </c>
      <c r="L2121" s="1" t="s">
        <v>12</v>
      </c>
      <c r="M2121" s="1" t="s">
        <v>12</v>
      </c>
      <c r="N2121" s="1">
        <v>21.12</v>
      </c>
      <c r="O2121" s="1" t="s">
        <v>18</v>
      </c>
      <c r="P2121" s="1">
        <v>10</v>
      </c>
      <c r="Q2121" s="1" t="s">
        <v>16</v>
      </c>
      <c r="R2121" s="1" t="str">
        <f>IF(N2121="","",VLOOKUP(N2121,Prior_levels,2,TRUE))</f>
        <v>L</v>
      </c>
    </row>
    <row r="2122" spans="1:18" x14ac:dyDescent="0.2">
      <c r="A2122" s="1" t="s">
        <v>234</v>
      </c>
      <c r="B2122" s="1" t="s">
        <v>10</v>
      </c>
      <c r="C2122" s="2">
        <v>41155</v>
      </c>
      <c r="D2122" s="1">
        <v>10</v>
      </c>
      <c r="E2122" s="1" t="s">
        <v>11</v>
      </c>
      <c r="H2122" s="1" t="s">
        <v>54</v>
      </c>
      <c r="I2122" s="1" t="s">
        <v>12</v>
      </c>
      <c r="J2122" s="1" t="s">
        <v>196</v>
      </c>
      <c r="K2122" s="1" t="s">
        <v>196</v>
      </c>
      <c r="L2122" s="1" t="s">
        <v>12</v>
      </c>
      <c r="M2122" s="1" t="s">
        <v>12</v>
      </c>
      <c r="N2122" s="1">
        <v>21.12</v>
      </c>
      <c r="O2122" s="1" t="s">
        <v>19</v>
      </c>
      <c r="P2122" s="1">
        <v>8</v>
      </c>
      <c r="Q2122" s="1" t="s">
        <v>16</v>
      </c>
      <c r="R2122" s="1" t="str">
        <f>IF(N2122="","",VLOOKUP(N2122,Prior_levels,2,TRUE))</f>
        <v>L</v>
      </c>
    </row>
    <row r="2123" spans="1:18" x14ac:dyDescent="0.2">
      <c r="A2123" s="1" t="s">
        <v>234</v>
      </c>
      <c r="B2123" s="1" t="s">
        <v>10</v>
      </c>
      <c r="C2123" s="2">
        <v>41155</v>
      </c>
      <c r="D2123" s="1">
        <v>10</v>
      </c>
      <c r="E2123" s="1" t="s">
        <v>11</v>
      </c>
      <c r="H2123" s="1" t="s">
        <v>54</v>
      </c>
      <c r="I2123" s="1" t="s">
        <v>12</v>
      </c>
      <c r="J2123" s="1" t="s">
        <v>196</v>
      </c>
      <c r="K2123" s="1" t="s">
        <v>196</v>
      </c>
      <c r="L2123" s="1" t="s">
        <v>12</v>
      </c>
      <c r="M2123" s="1" t="s">
        <v>12</v>
      </c>
      <c r="N2123" s="1">
        <v>21.12</v>
      </c>
      <c r="O2123" s="1" t="s">
        <v>20</v>
      </c>
      <c r="P2123" s="1">
        <v>10</v>
      </c>
      <c r="Q2123" s="1" t="s">
        <v>16</v>
      </c>
      <c r="R2123" s="1" t="str">
        <f>IF(N2123="","",VLOOKUP(N2123,Prior_levels,2,TRUE))</f>
        <v>L</v>
      </c>
    </row>
    <row r="2124" spans="1:18" x14ac:dyDescent="0.2">
      <c r="A2124" s="1" t="s">
        <v>234</v>
      </c>
      <c r="B2124" s="1" t="s">
        <v>10</v>
      </c>
      <c r="C2124" s="2">
        <v>41155</v>
      </c>
      <c r="D2124" s="1">
        <v>10</v>
      </c>
      <c r="E2124" s="1" t="s">
        <v>11</v>
      </c>
      <c r="H2124" s="1" t="s">
        <v>54</v>
      </c>
      <c r="I2124" s="1" t="s">
        <v>12</v>
      </c>
      <c r="J2124" s="1" t="s">
        <v>196</v>
      </c>
      <c r="K2124" s="1" t="s">
        <v>196</v>
      </c>
      <c r="L2124" s="1" t="s">
        <v>12</v>
      </c>
      <c r="M2124" s="1" t="s">
        <v>12</v>
      </c>
      <c r="N2124" s="1">
        <v>21.12</v>
      </c>
      <c r="O2124" s="1" t="s">
        <v>21</v>
      </c>
      <c r="P2124" s="1">
        <v>12</v>
      </c>
      <c r="Q2124" s="1" t="s">
        <v>16</v>
      </c>
      <c r="R2124" s="1" t="str">
        <f>IF(N2124="","",VLOOKUP(N2124,Prior_levels,2,TRUE))</f>
        <v>L</v>
      </c>
    </row>
    <row r="2125" spans="1:18" x14ac:dyDescent="0.2">
      <c r="A2125" s="1" t="s">
        <v>234</v>
      </c>
      <c r="B2125" s="1" t="s">
        <v>10</v>
      </c>
      <c r="C2125" s="2">
        <v>41155</v>
      </c>
      <c r="D2125" s="1">
        <v>10</v>
      </c>
      <c r="E2125" s="1" t="s">
        <v>11</v>
      </c>
      <c r="H2125" s="1" t="s">
        <v>54</v>
      </c>
      <c r="I2125" s="1" t="s">
        <v>12</v>
      </c>
      <c r="J2125" s="1" t="s">
        <v>196</v>
      </c>
      <c r="K2125" s="1" t="s">
        <v>196</v>
      </c>
      <c r="L2125" s="1" t="s">
        <v>12</v>
      </c>
      <c r="M2125" s="1" t="s">
        <v>12</v>
      </c>
      <c r="N2125" s="1">
        <v>21.12</v>
      </c>
      <c r="O2125" s="1" t="s">
        <v>22</v>
      </c>
      <c r="P2125" s="1">
        <v>1.34</v>
      </c>
      <c r="Q2125" s="1" t="s">
        <v>16</v>
      </c>
      <c r="R2125" s="1" t="str">
        <f>IF(N2125="","",VLOOKUP(N2125,Prior_levels,2,TRUE))</f>
        <v>L</v>
      </c>
    </row>
    <row r="2126" spans="1:18" x14ac:dyDescent="0.2">
      <c r="A2126" s="1" t="s">
        <v>234</v>
      </c>
      <c r="B2126" s="1" t="s">
        <v>10</v>
      </c>
      <c r="C2126" s="2">
        <v>41155</v>
      </c>
      <c r="D2126" s="1">
        <v>10</v>
      </c>
      <c r="E2126" s="1" t="s">
        <v>11</v>
      </c>
      <c r="H2126" s="1" t="s">
        <v>54</v>
      </c>
      <c r="I2126" s="1" t="s">
        <v>12</v>
      </c>
      <c r="J2126" s="1" t="s">
        <v>196</v>
      </c>
      <c r="K2126" s="1" t="s">
        <v>196</v>
      </c>
      <c r="L2126" s="1" t="s">
        <v>12</v>
      </c>
      <c r="M2126" s="1" t="s">
        <v>12</v>
      </c>
      <c r="N2126" s="1">
        <v>21.12</v>
      </c>
      <c r="O2126" s="1" t="s">
        <v>23</v>
      </c>
      <c r="P2126" s="1">
        <v>1.39</v>
      </c>
      <c r="Q2126" s="1" t="s">
        <v>16</v>
      </c>
      <c r="R2126" s="1" t="str">
        <f>IF(N2126="","",VLOOKUP(N2126,Prior_levels,2,TRUE))</f>
        <v>L</v>
      </c>
    </row>
    <row r="2127" spans="1:18" x14ac:dyDescent="0.2">
      <c r="A2127" s="1" t="s">
        <v>234</v>
      </c>
      <c r="B2127" s="1" t="s">
        <v>10</v>
      </c>
      <c r="C2127" s="2">
        <v>41155</v>
      </c>
      <c r="D2127" s="1">
        <v>10</v>
      </c>
      <c r="E2127" s="1" t="s">
        <v>11</v>
      </c>
      <c r="H2127" s="1" t="s">
        <v>54</v>
      </c>
      <c r="I2127" s="1" t="s">
        <v>12</v>
      </c>
      <c r="J2127" s="1" t="s">
        <v>196</v>
      </c>
      <c r="K2127" s="1" t="s">
        <v>196</v>
      </c>
      <c r="L2127" s="1" t="s">
        <v>12</v>
      </c>
      <c r="M2127" s="1" t="s">
        <v>12</v>
      </c>
      <c r="N2127" s="1">
        <v>21.12</v>
      </c>
      <c r="O2127" s="1" t="s">
        <v>24</v>
      </c>
      <c r="P2127" s="1">
        <v>5.49</v>
      </c>
      <c r="Q2127" s="1" t="s">
        <v>16</v>
      </c>
      <c r="R2127" s="1" t="str">
        <f>IF(N2127="","",VLOOKUP(N2127,Prior_levels,2,TRUE))</f>
        <v>L</v>
      </c>
    </row>
    <row r="2128" spans="1:18" x14ac:dyDescent="0.2">
      <c r="A2128" s="1" t="s">
        <v>234</v>
      </c>
      <c r="B2128" s="1" t="s">
        <v>10</v>
      </c>
      <c r="C2128" s="2">
        <v>41155</v>
      </c>
      <c r="D2128" s="1">
        <v>10</v>
      </c>
      <c r="E2128" s="1" t="s">
        <v>11</v>
      </c>
      <c r="H2128" s="1" t="s">
        <v>54</v>
      </c>
      <c r="I2128" s="1" t="s">
        <v>12</v>
      </c>
      <c r="J2128" s="1" t="s">
        <v>196</v>
      </c>
      <c r="K2128" s="1" t="s">
        <v>196</v>
      </c>
      <c r="L2128" s="1" t="s">
        <v>12</v>
      </c>
      <c r="M2128" s="1" t="s">
        <v>12</v>
      </c>
      <c r="N2128" s="1">
        <v>21.12</v>
      </c>
      <c r="O2128" s="1" t="s">
        <v>25</v>
      </c>
      <c r="P2128" s="1">
        <v>0.8</v>
      </c>
      <c r="Q2128" s="1" t="s">
        <v>16</v>
      </c>
      <c r="R2128" s="1" t="str">
        <f>IF(N2128="","",VLOOKUP(N2128,Prior_levels,2,TRUE))</f>
        <v>L</v>
      </c>
    </row>
    <row r="2129" spans="1:18" x14ac:dyDescent="0.2">
      <c r="A2129" s="1" t="s">
        <v>234</v>
      </c>
      <c r="B2129" s="1" t="s">
        <v>10</v>
      </c>
      <c r="C2129" s="2">
        <v>41155</v>
      </c>
      <c r="D2129" s="1">
        <v>10</v>
      </c>
      <c r="E2129" s="1" t="s">
        <v>11</v>
      </c>
      <c r="H2129" s="1" t="s">
        <v>54</v>
      </c>
      <c r="I2129" s="1" t="s">
        <v>12</v>
      </c>
      <c r="J2129" s="1" t="s">
        <v>196</v>
      </c>
      <c r="K2129" s="1" t="s">
        <v>196</v>
      </c>
      <c r="L2129" s="1" t="s">
        <v>12</v>
      </c>
      <c r="M2129" s="1" t="s">
        <v>12</v>
      </c>
      <c r="N2129" s="1">
        <v>21.12</v>
      </c>
      <c r="O2129" s="1" t="s">
        <v>26</v>
      </c>
      <c r="P2129" s="1">
        <v>4</v>
      </c>
      <c r="Q2129" s="1" t="s">
        <v>16</v>
      </c>
      <c r="R2129" s="1" t="str">
        <f>IF(N2129="","",VLOOKUP(N2129,Prior_levels,2,TRUE))</f>
        <v>L</v>
      </c>
    </row>
    <row r="2130" spans="1:18" x14ac:dyDescent="0.2">
      <c r="A2130" s="1" t="s">
        <v>234</v>
      </c>
      <c r="B2130" s="1" t="s">
        <v>10</v>
      </c>
      <c r="C2130" s="2">
        <v>41155</v>
      </c>
      <c r="D2130" s="1">
        <v>10</v>
      </c>
      <c r="E2130" s="1" t="s">
        <v>11</v>
      </c>
      <c r="H2130" s="1" t="s">
        <v>54</v>
      </c>
      <c r="I2130" s="1" t="s">
        <v>12</v>
      </c>
      <c r="J2130" s="1" t="s">
        <v>196</v>
      </c>
      <c r="K2130" s="1" t="s">
        <v>196</v>
      </c>
      <c r="L2130" s="1" t="s">
        <v>12</v>
      </c>
      <c r="M2130" s="1" t="s">
        <v>12</v>
      </c>
      <c r="N2130" s="1">
        <v>21.12</v>
      </c>
      <c r="O2130" s="1" t="s">
        <v>27</v>
      </c>
      <c r="P2130" s="1" t="s">
        <v>28</v>
      </c>
      <c r="Q2130" s="1" t="s">
        <v>16</v>
      </c>
      <c r="R2130" s="1" t="str">
        <f>IF(N2130="","",VLOOKUP(N2130,Prior_levels,2,TRUE))</f>
        <v>L</v>
      </c>
    </row>
    <row r="2131" spans="1:18" x14ac:dyDescent="0.2">
      <c r="A2131" s="1" t="s">
        <v>234</v>
      </c>
      <c r="B2131" s="1" t="s">
        <v>10</v>
      </c>
      <c r="C2131" s="2">
        <v>41155</v>
      </c>
      <c r="D2131" s="1">
        <v>10</v>
      </c>
      <c r="E2131" s="1" t="s">
        <v>11</v>
      </c>
      <c r="H2131" s="1" t="s">
        <v>54</v>
      </c>
      <c r="I2131" s="1" t="s">
        <v>12</v>
      </c>
      <c r="J2131" s="1" t="s">
        <v>196</v>
      </c>
      <c r="K2131" s="1" t="s">
        <v>196</v>
      </c>
      <c r="L2131" s="1" t="s">
        <v>12</v>
      </c>
      <c r="M2131" s="1" t="s">
        <v>12</v>
      </c>
      <c r="N2131" s="1">
        <v>21.12</v>
      </c>
      <c r="O2131" s="1" t="s">
        <v>29</v>
      </c>
      <c r="P2131" s="1" t="s">
        <v>37</v>
      </c>
      <c r="Q2131" s="1" t="s">
        <v>16</v>
      </c>
      <c r="R2131" s="1" t="str">
        <f>IF(N2131="","",VLOOKUP(N2131,Prior_levels,2,TRUE))</f>
        <v>L</v>
      </c>
    </row>
    <row r="2132" spans="1:18" x14ac:dyDescent="0.2">
      <c r="A2132" s="1" t="s">
        <v>234</v>
      </c>
      <c r="B2132" s="1" t="s">
        <v>10</v>
      </c>
      <c r="C2132" s="2">
        <v>41155</v>
      </c>
      <c r="D2132" s="1">
        <v>10</v>
      </c>
      <c r="E2132" s="1" t="s">
        <v>11</v>
      </c>
      <c r="H2132" s="1" t="s">
        <v>54</v>
      </c>
      <c r="I2132" s="1" t="s">
        <v>12</v>
      </c>
      <c r="J2132" s="1" t="s">
        <v>196</v>
      </c>
      <c r="K2132" s="1" t="s">
        <v>196</v>
      </c>
      <c r="L2132" s="1" t="s">
        <v>12</v>
      </c>
      <c r="M2132" s="1" t="s">
        <v>12</v>
      </c>
      <c r="N2132" s="1">
        <v>21.12</v>
      </c>
      <c r="O2132" s="1" t="s">
        <v>30</v>
      </c>
      <c r="P2132" s="1" t="s">
        <v>28</v>
      </c>
      <c r="Q2132" s="1" t="s">
        <v>16</v>
      </c>
      <c r="R2132" s="1" t="str">
        <f>IF(N2132="","",VLOOKUP(N2132,Prior_levels,2,TRUE))</f>
        <v>L</v>
      </c>
    </row>
    <row r="2133" spans="1:18" x14ac:dyDescent="0.2">
      <c r="A2133" s="1" t="s">
        <v>234</v>
      </c>
      <c r="B2133" s="1" t="s">
        <v>10</v>
      </c>
      <c r="C2133" s="2">
        <v>41155</v>
      </c>
      <c r="D2133" s="1">
        <v>10</v>
      </c>
      <c r="E2133" s="1" t="s">
        <v>11</v>
      </c>
      <c r="H2133" s="1" t="s">
        <v>54</v>
      </c>
      <c r="I2133" s="1" t="s">
        <v>12</v>
      </c>
      <c r="J2133" s="1" t="s">
        <v>196</v>
      </c>
      <c r="K2133" s="1" t="s">
        <v>196</v>
      </c>
      <c r="L2133" s="1" t="s">
        <v>12</v>
      </c>
      <c r="M2133" s="1" t="s">
        <v>12</v>
      </c>
      <c r="N2133" s="1">
        <v>21.12</v>
      </c>
      <c r="O2133" s="1" t="s">
        <v>31</v>
      </c>
      <c r="P2133" s="1" t="s">
        <v>28</v>
      </c>
      <c r="Q2133" s="1" t="s">
        <v>16</v>
      </c>
      <c r="R2133" s="1" t="str">
        <f>IF(N2133="","",VLOOKUP(N2133,Prior_levels,2,TRUE))</f>
        <v>L</v>
      </c>
    </row>
    <row r="2134" spans="1:18" x14ac:dyDescent="0.2">
      <c r="A2134" s="1" t="s">
        <v>234</v>
      </c>
      <c r="B2134" s="1" t="s">
        <v>10</v>
      </c>
      <c r="C2134" s="2">
        <v>41155</v>
      </c>
      <c r="D2134" s="1">
        <v>10</v>
      </c>
      <c r="E2134" s="1" t="s">
        <v>11</v>
      </c>
      <c r="H2134" s="1" t="s">
        <v>54</v>
      </c>
      <c r="I2134" s="1" t="s">
        <v>12</v>
      </c>
      <c r="J2134" s="1" t="s">
        <v>196</v>
      </c>
      <c r="K2134" s="1" t="s">
        <v>196</v>
      </c>
      <c r="L2134" s="1" t="s">
        <v>12</v>
      </c>
      <c r="M2134" s="1" t="s">
        <v>12</v>
      </c>
      <c r="N2134" s="1">
        <v>21.12</v>
      </c>
      <c r="O2134" s="1" t="s">
        <v>32</v>
      </c>
      <c r="P2134" s="1" t="s">
        <v>28</v>
      </c>
      <c r="Q2134" s="1" t="s">
        <v>16</v>
      </c>
      <c r="R2134" s="1" t="str">
        <f>IF(N2134="","",VLOOKUP(N2134,Prior_levels,2,TRUE))</f>
        <v>L</v>
      </c>
    </row>
    <row r="2135" spans="1:18" x14ac:dyDescent="0.2">
      <c r="A2135" s="1" t="s">
        <v>235</v>
      </c>
      <c r="B2135" s="1" t="s">
        <v>12</v>
      </c>
      <c r="C2135" s="2">
        <v>41155</v>
      </c>
      <c r="D2135" s="1">
        <v>10</v>
      </c>
      <c r="E2135" s="1" t="s">
        <v>47</v>
      </c>
      <c r="H2135" s="1" t="s">
        <v>54</v>
      </c>
      <c r="I2135" s="1" t="s">
        <v>12</v>
      </c>
      <c r="J2135" s="1" t="s">
        <v>49</v>
      </c>
      <c r="K2135" s="1" t="s">
        <v>14</v>
      </c>
      <c r="L2135" s="1" t="s">
        <v>12</v>
      </c>
      <c r="M2135" s="1" t="s">
        <v>12</v>
      </c>
      <c r="N2135" s="1">
        <v>24.12</v>
      </c>
      <c r="O2135" s="1" t="s">
        <v>15</v>
      </c>
      <c r="P2135" s="1">
        <v>4.0999999999999996</v>
      </c>
      <c r="Q2135" s="1" t="s">
        <v>16</v>
      </c>
      <c r="R2135" s="1" t="str">
        <f>IF(N2135="","",VLOOKUP(N2135,Prior_levels,2,TRUE))</f>
        <v>M</v>
      </c>
    </row>
    <row r="2136" spans="1:18" x14ac:dyDescent="0.2">
      <c r="A2136" s="1" t="s">
        <v>235</v>
      </c>
      <c r="B2136" s="1" t="s">
        <v>12</v>
      </c>
      <c r="C2136" s="2">
        <v>41155</v>
      </c>
      <c r="D2136" s="1">
        <v>10</v>
      </c>
      <c r="E2136" s="1" t="s">
        <v>47</v>
      </c>
      <c r="H2136" s="1" t="s">
        <v>54</v>
      </c>
      <c r="I2136" s="1" t="s">
        <v>12</v>
      </c>
      <c r="J2136" s="1" t="s">
        <v>49</v>
      </c>
      <c r="K2136" s="1" t="s">
        <v>14</v>
      </c>
      <c r="L2136" s="1" t="s">
        <v>12</v>
      </c>
      <c r="M2136" s="1" t="s">
        <v>12</v>
      </c>
      <c r="N2136" s="1">
        <v>24.12</v>
      </c>
      <c r="O2136" s="1" t="s">
        <v>17</v>
      </c>
      <c r="P2136" s="1">
        <v>0.49</v>
      </c>
      <c r="Q2136" s="1" t="s">
        <v>16</v>
      </c>
      <c r="R2136" s="1" t="str">
        <f>IF(N2136="","",VLOOKUP(N2136,Prior_levels,2,TRUE))</f>
        <v>M</v>
      </c>
    </row>
    <row r="2137" spans="1:18" x14ac:dyDescent="0.2">
      <c r="A2137" s="1" t="s">
        <v>235</v>
      </c>
      <c r="B2137" s="1" t="s">
        <v>12</v>
      </c>
      <c r="C2137" s="2">
        <v>41155</v>
      </c>
      <c r="D2137" s="1">
        <v>10</v>
      </c>
      <c r="E2137" s="1" t="s">
        <v>47</v>
      </c>
      <c r="H2137" s="1" t="s">
        <v>54</v>
      </c>
      <c r="I2137" s="1" t="s">
        <v>12</v>
      </c>
      <c r="J2137" s="1" t="s">
        <v>49</v>
      </c>
      <c r="K2137" s="1" t="s">
        <v>14</v>
      </c>
      <c r="L2137" s="1" t="s">
        <v>12</v>
      </c>
      <c r="M2137" s="1" t="s">
        <v>12</v>
      </c>
      <c r="N2137" s="1">
        <v>24.12</v>
      </c>
      <c r="O2137" s="1" t="s">
        <v>18</v>
      </c>
      <c r="P2137" s="1">
        <v>10</v>
      </c>
      <c r="Q2137" s="1" t="s">
        <v>16</v>
      </c>
      <c r="R2137" s="1" t="str">
        <f>IF(N2137="","",VLOOKUP(N2137,Prior_levels,2,TRUE))</f>
        <v>M</v>
      </c>
    </row>
    <row r="2138" spans="1:18" x14ac:dyDescent="0.2">
      <c r="A2138" s="1" t="s">
        <v>235</v>
      </c>
      <c r="B2138" s="1" t="s">
        <v>12</v>
      </c>
      <c r="C2138" s="2">
        <v>41155</v>
      </c>
      <c r="D2138" s="1">
        <v>10</v>
      </c>
      <c r="E2138" s="1" t="s">
        <v>47</v>
      </c>
      <c r="H2138" s="1" t="s">
        <v>54</v>
      </c>
      <c r="I2138" s="1" t="s">
        <v>12</v>
      </c>
      <c r="J2138" s="1" t="s">
        <v>49</v>
      </c>
      <c r="K2138" s="1" t="s">
        <v>14</v>
      </c>
      <c r="L2138" s="1" t="s">
        <v>12</v>
      </c>
      <c r="M2138" s="1" t="s">
        <v>12</v>
      </c>
      <c r="N2138" s="1">
        <v>24.12</v>
      </c>
      <c r="O2138" s="1" t="s">
        <v>19</v>
      </c>
      <c r="P2138" s="1">
        <v>8</v>
      </c>
      <c r="Q2138" s="1" t="s">
        <v>16</v>
      </c>
      <c r="R2138" s="1" t="str">
        <f>IF(N2138="","",VLOOKUP(N2138,Prior_levels,2,TRUE))</f>
        <v>M</v>
      </c>
    </row>
    <row r="2139" spans="1:18" x14ac:dyDescent="0.2">
      <c r="A2139" s="1" t="s">
        <v>235</v>
      </c>
      <c r="B2139" s="1" t="s">
        <v>12</v>
      </c>
      <c r="C2139" s="2">
        <v>41155</v>
      </c>
      <c r="D2139" s="1">
        <v>10</v>
      </c>
      <c r="E2139" s="1" t="s">
        <v>47</v>
      </c>
      <c r="H2139" s="1" t="s">
        <v>54</v>
      </c>
      <c r="I2139" s="1" t="s">
        <v>12</v>
      </c>
      <c r="J2139" s="1" t="s">
        <v>49</v>
      </c>
      <c r="K2139" s="1" t="s">
        <v>14</v>
      </c>
      <c r="L2139" s="1" t="s">
        <v>12</v>
      </c>
      <c r="M2139" s="1" t="s">
        <v>12</v>
      </c>
      <c r="N2139" s="1">
        <v>24.12</v>
      </c>
      <c r="O2139" s="1" t="s">
        <v>20</v>
      </c>
      <c r="P2139" s="1">
        <v>11</v>
      </c>
      <c r="Q2139" s="1" t="s">
        <v>16</v>
      </c>
      <c r="R2139" s="1" t="str">
        <f>IF(N2139="","",VLOOKUP(N2139,Prior_levels,2,TRUE))</f>
        <v>M</v>
      </c>
    </row>
    <row r="2140" spans="1:18" x14ac:dyDescent="0.2">
      <c r="A2140" s="1" t="s">
        <v>235</v>
      </c>
      <c r="B2140" s="1" t="s">
        <v>12</v>
      </c>
      <c r="C2140" s="2">
        <v>41155</v>
      </c>
      <c r="D2140" s="1">
        <v>10</v>
      </c>
      <c r="E2140" s="1" t="s">
        <v>47</v>
      </c>
      <c r="H2140" s="1" t="s">
        <v>54</v>
      </c>
      <c r="I2140" s="1" t="s">
        <v>12</v>
      </c>
      <c r="J2140" s="1" t="s">
        <v>49</v>
      </c>
      <c r="K2140" s="1" t="s">
        <v>14</v>
      </c>
      <c r="L2140" s="1" t="s">
        <v>12</v>
      </c>
      <c r="M2140" s="1" t="s">
        <v>12</v>
      </c>
      <c r="N2140" s="1">
        <v>24.12</v>
      </c>
      <c r="O2140" s="1" t="s">
        <v>21</v>
      </c>
      <c r="P2140" s="1">
        <v>12</v>
      </c>
      <c r="Q2140" s="1" t="s">
        <v>16</v>
      </c>
      <c r="R2140" s="1" t="str">
        <f>IF(N2140="","",VLOOKUP(N2140,Prior_levels,2,TRUE))</f>
        <v>M</v>
      </c>
    </row>
    <row r="2141" spans="1:18" x14ac:dyDescent="0.2">
      <c r="A2141" s="1" t="s">
        <v>235</v>
      </c>
      <c r="B2141" s="1" t="s">
        <v>12</v>
      </c>
      <c r="C2141" s="2">
        <v>41155</v>
      </c>
      <c r="D2141" s="1">
        <v>10</v>
      </c>
      <c r="E2141" s="1" t="s">
        <v>47</v>
      </c>
      <c r="H2141" s="1" t="s">
        <v>54</v>
      </c>
      <c r="I2141" s="1" t="s">
        <v>12</v>
      </c>
      <c r="J2141" s="1" t="s">
        <v>49</v>
      </c>
      <c r="K2141" s="1" t="s">
        <v>14</v>
      </c>
      <c r="L2141" s="1" t="s">
        <v>12</v>
      </c>
      <c r="M2141" s="1" t="s">
        <v>12</v>
      </c>
      <c r="N2141" s="1">
        <v>24.12</v>
      </c>
      <c r="O2141" s="1" t="s">
        <v>22</v>
      </c>
      <c r="P2141" s="1">
        <v>0.68</v>
      </c>
      <c r="Q2141" s="1" t="s">
        <v>16</v>
      </c>
      <c r="R2141" s="1" t="str">
        <f>IF(N2141="","",VLOOKUP(N2141,Prior_levels,2,TRUE))</f>
        <v>M</v>
      </c>
    </row>
    <row r="2142" spans="1:18" x14ac:dyDescent="0.2">
      <c r="A2142" s="1" t="s">
        <v>235</v>
      </c>
      <c r="B2142" s="1" t="s">
        <v>12</v>
      </c>
      <c r="C2142" s="2">
        <v>41155</v>
      </c>
      <c r="D2142" s="1">
        <v>10</v>
      </c>
      <c r="E2142" s="1" t="s">
        <v>47</v>
      </c>
      <c r="H2142" s="1" t="s">
        <v>54</v>
      </c>
      <c r="I2142" s="1" t="s">
        <v>12</v>
      </c>
      <c r="J2142" s="1" t="s">
        <v>49</v>
      </c>
      <c r="K2142" s="1" t="s">
        <v>14</v>
      </c>
      <c r="L2142" s="1" t="s">
        <v>12</v>
      </c>
      <c r="M2142" s="1" t="s">
        <v>12</v>
      </c>
      <c r="N2142" s="1">
        <v>24.12</v>
      </c>
      <c r="O2142" s="1" t="s">
        <v>23</v>
      </c>
      <c r="P2142" s="1">
        <v>0.34</v>
      </c>
      <c r="Q2142" s="1" t="s">
        <v>16</v>
      </c>
      <c r="R2142" s="1" t="str">
        <f>IF(N2142="","",VLOOKUP(N2142,Prior_levels,2,TRUE))</f>
        <v>M</v>
      </c>
    </row>
    <row r="2143" spans="1:18" x14ac:dyDescent="0.2">
      <c r="A2143" s="1" t="s">
        <v>235</v>
      </c>
      <c r="B2143" s="1" t="s">
        <v>12</v>
      </c>
      <c r="C2143" s="2">
        <v>41155</v>
      </c>
      <c r="D2143" s="1">
        <v>10</v>
      </c>
      <c r="E2143" s="1" t="s">
        <v>47</v>
      </c>
      <c r="H2143" s="1" t="s">
        <v>54</v>
      </c>
      <c r="I2143" s="1" t="s">
        <v>12</v>
      </c>
      <c r="J2143" s="1" t="s">
        <v>49</v>
      </c>
      <c r="K2143" s="1" t="s">
        <v>14</v>
      </c>
      <c r="L2143" s="1" t="s">
        <v>12</v>
      </c>
      <c r="M2143" s="1" t="s">
        <v>12</v>
      </c>
      <c r="N2143" s="1">
        <v>24.12</v>
      </c>
      <c r="O2143" s="1" t="s">
        <v>24</v>
      </c>
      <c r="P2143" s="1">
        <v>3.74</v>
      </c>
      <c r="Q2143" s="1" t="s">
        <v>16</v>
      </c>
      <c r="R2143" s="1" t="str">
        <f>IF(N2143="","",VLOOKUP(N2143,Prior_levels,2,TRUE))</f>
        <v>M</v>
      </c>
    </row>
    <row r="2144" spans="1:18" x14ac:dyDescent="0.2">
      <c r="A2144" s="1" t="s">
        <v>235</v>
      </c>
      <c r="B2144" s="1" t="s">
        <v>12</v>
      </c>
      <c r="C2144" s="2">
        <v>41155</v>
      </c>
      <c r="D2144" s="1">
        <v>10</v>
      </c>
      <c r="E2144" s="1" t="s">
        <v>47</v>
      </c>
      <c r="H2144" s="1" t="s">
        <v>54</v>
      </c>
      <c r="I2144" s="1" t="s">
        <v>12</v>
      </c>
      <c r="J2144" s="1" t="s">
        <v>49</v>
      </c>
      <c r="K2144" s="1" t="s">
        <v>14</v>
      </c>
      <c r="L2144" s="1" t="s">
        <v>12</v>
      </c>
      <c r="M2144" s="1" t="s">
        <v>12</v>
      </c>
      <c r="N2144" s="1">
        <v>24.12</v>
      </c>
      <c r="O2144" s="1" t="s">
        <v>25</v>
      </c>
      <c r="P2144" s="1">
        <v>-0.92</v>
      </c>
      <c r="Q2144" s="1" t="s">
        <v>16</v>
      </c>
      <c r="R2144" s="1" t="str">
        <f>IF(N2144="","",VLOOKUP(N2144,Prior_levels,2,TRUE))</f>
        <v>M</v>
      </c>
    </row>
    <row r="2145" spans="1:18" x14ac:dyDescent="0.2">
      <c r="A2145" s="1" t="s">
        <v>235</v>
      </c>
      <c r="B2145" s="1" t="s">
        <v>12</v>
      </c>
      <c r="C2145" s="2">
        <v>41155</v>
      </c>
      <c r="D2145" s="1">
        <v>10</v>
      </c>
      <c r="E2145" s="1" t="s">
        <v>47</v>
      </c>
      <c r="H2145" s="1" t="s">
        <v>54</v>
      </c>
      <c r="I2145" s="1" t="s">
        <v>12</v>
      </c>
      <c r="J2145" s="1" t="s">
        <v>49</v>
      </c>
      <c r="K2145" s="1" t="s">
        <v>14</v>
      </c>
      <c r="L2145" s="1" t="s">
        <v>12</v>
      </c>
      <c r="M2145" s="1" t="s">
        <v>12</v>
      </c>
      <c r="N2145" s="1">
        <v>24.12</v>
      </c>
      <c r="O2145" s="1" t="s">
        <v>26</v>
      </c>
      <c r="P2145" s="1">
        <v>5</v>
      </c>
      <c r="Q2145" s="1" t="s">
        <v>16</v>
      </c>
      <c r="R2145" s="1" t="str">
        <f>IF(N2145="","",VLOOKUP(N2145,Prior_levels,2,TRUE))</f>
        <v>M</v>
      </c>
    </row>
    <row r="2146" spans="1:18" x14ac:dyDescent="0.2">
      <c r="A2146" s="1" t="s">
        <v>235</v>
      </c>
      <c r="B2146" s="1" t="s">
        <v>12</v>
      </c>
      <c r="C2146" s="2">
        <v>41155</v>
      </c>
      <c r="D2146" s="1">
        <v>10</v>
      </c>
      <c r="E2146" s="1" t="s">
        <v>47</v>
      </c>
      <c r="H2146" s="1" t="s">
        <v>54</v>
      </c>
      <c r="I2146" s="1" t="s">
        <v>12</v>
      </c>
      <c r="J2146" s="1" t="s">
        <v>49</v>
      </c>
      <c r="K2146" s="1" t="s">
        <v>14</v>
      </c>
      <c r="L2146" s="1" t="s">
        <v>12</v>
      </c>
      <c r="M2146" s="1" t="s">
        <v>12</v>
      </c>
      <c r="N2146" s="1">
        <v>24.12</v>
      </c>
      <c r="O2146" s="1" t="s">
        <v>27</v>
      </c>
      <c r="P2146" s="1" t="s">
        <v>28</v>
      </c>
      <c r="Q2146" s="1" t="s">
        <v>16</v>
      </c>
      <c r="R2146" s="1" t="str">
        <f>IF(N2146="","",VLOOKUP(N2146,Prior_levels,2,TRUE))</f>
        <v>M</v>
      </c>
    </row>
    <row r="2147" spans="1:18" x14ac:dyDescent="0.2">
      <c r="A2147" s="1" t="s">
        <v>235</v>
      </c>
      <c r="B2147" s="1" t="s">
        <v>12</v>
      </c>
      <c r="C2147" s="2">
        <v>41155</v>
      </c>
      <c r="D2147" s="1">
        <v>10</v>
      </c>
      <c r="E2147" s="1" t="s">
        <v>47</v>
      </c>
      <c r="H2147" s="1" t="s">
        <v>54</v>
      </c>
      <c r="I2147" s="1" t="s">
        <v>12</v>
      </c>
      <c r="J2147" s="1" t="s">
        <v>49</v>
      </c>
      <c r="K2147" s="1" t="s">
        <v>14</v>
      </c>
      <c r="L2147" s="1" t="s">
        <v>12</v>
      </c>
      <c r="M2147" s="1" t="s">
        <v>12</v>
      </c>
      <c r="N2147" s="1">
        <v>24.12</v>
      </c>
      <c r="O2147" s="1" t="s">
        <v>29</v>
      </c>
      <c r="P2147" s="1" t="s">
        <v>37</v>
      </c>
      <c r="Q2147" s="1" t="s">
        <v>16</v>
      </c>
      <c r="R2147" s="1" t="str">
        <f>IF(N2147="","",VLOOKUP(N2147,Prior_levels,2,TRUE))</f>
        <v>M</v>
      </c>
    </row>
    <row r="2148" spans="1:18" x14ac:dyDescent="0.2">
      <c r="A2148" s="1" t="s">
        <v>235</v>
      </c>
      <c r="B2148" s="1" t="s">
        <v>12</v>
      </c>
      <c r="C2148" s="2">
        <v>41155</v>
      </c>
      <c r="D2148" s="1">
        <v>10</v>
      </c>
      <c r="E2148" s="1" t="s">
        <v>47</v>
      </c>
      <c r="H2148" s="1" t="s">
        <v>54</v>
      </c>
      <c r="I2148" s="1" t="s">
        <v>12</v>
      </c>
      <c r="J2148" s="1" t="s">
        <v>49</v>
      </c>
      <c r="K2148" s="1" t="s">
        <v>14</v>
      </c>
      <c r="L2148" s="1" t="s">
        <v>12</v>
      </c>
      <c r="M2148" s="1" t="s">
        <v>12</v>
      </c>
      <c r="N2148" s="1">
        <v>24.12</v>
      </c>
      <c r="O2148" s="1" t="s">
        <v>30</v>
      </c>
      <c r="P2148" s="1" t="s">
        <v>28</v>
      </c>
      <c r="Q2148" s="1" t="s">
        <v>16</v>
      </c>
      <c r="R2148" s="1" t="str">
        <f>IF(N2148="","",VLOOKUP(N2148,Prior_levels,2,TRUE))</f>
        <v>M</v>
      </c>
    </row>
    <row r="2149" spans="1:18" x14ac:dyDescent="0.2">
      <c r="A2149" s="1" t="s">
        <v>235</v>
      </c>
      <c r="B2149" s="1" t="s">
        <v>12</v>
      </c>
      <c r="C2149" s="2">
        <v>41155</v>
      </c>
      <c r="D2149" s="1">
        <v>10</v>
      </c>
      <c r="E2149" s="1" t="s">
        <v>47</v>
      </c>
      <c r="H2149" s="1" t="s">
        <v>54</v>
      </c>
      <c r="I2149" s="1" t="s">
        <v>12</v>
      </c>
      <c r="J2149" s="1" t="s">
        <v>49</v>
      </c>
      <c r="K2149" s="1" t="s">
        <v>14</v>
      </c>
      <c r="L2149" s="1" t="s">
        <v>12</v>
      </c>
      <c r="M2149" s="1" t="s">
        <v>12</v>
      </c>
      <c r="N2149" s="1">
        <v>24.12</v>
      </c>
      <c r="O2149" s="1" t="s">
        <v>31</v>
      </c>
      <c r="P2149" s="1" t="s">
        <v>28</v>
      </c>
      <c r="Q2149" s="1" t="s">
        <v>16</v>
      </c>
      <c r="R2149" s="1" t="str">
        <f>IF(N2149="","",VLOOKUP(N2149,Prior_levels,2,TRUE))</f>
        <v>M</v>
      </c>
    </row>
    <row r="2150" spans="1:18" x14ac:dyDescent="0.2">
      <c r="A2150" s="1" t="s">
        <v>235</v>
      </c>
      <c r="B2150" s="1" t="s">
        <v>12</v>
      </c>
      <c r="C2150" s="2">
        <v>41155</v>
      </c>
      <c r="D2150" s="1">
        <v>10</v>
      </c>
      <c r="E2150" s="1" t="s">
        <v>47</v>
      </c>
      <c r="H2150" s="1" t="s">
        <v>54</v>
      </c>
      <c r="I2150" s="1" t="s">
        <v>12</v>
      </c>
      <c r="J2150" s="1" t="s">
        <v>49</v>
      </c>
      <c r="K2150" s="1" t="s">
        <v>14</v>
      </c>
      <c r="L2150" s="1" t="s">
        <v>12</v>
      </c>
      <c r="M2150" s="1" t="s">
        <v>12</v>
      </c>
      <c r="N2150" s="1">
        <v>24.12</v>
      </c>
      <c r="O2150" s="1" t="s">
        <v>32</v>
      </c>
      <c r="P2150" s="1" t="s">
        <v>28</v>
      </c>
      <c r="Q2150" s="1" t="s">
        <v>16</v>
      </c>
      <c r="R2150" s="1" t="str">
        <f>IF(N2150="","",VLOOKUP(N2150,Prior_levels,2,TRUE))</f>
        <v>M</v>
      </c>
    </row>
    <row r="2151" spans="1:18" x14ac:dyDescent="0.2">
      <c r="A2151" s="1" t="s">
        <v>236</v>
      </c>
      <c r="B2151" s="1" t="s">
        <v>10</v>
      </c>
      <c r="C2151" s="2">
        <v>41155</v>
      </c>
      <c r="D2151" s="1">
        <v>10</v>
      </c>
      <c r="E2151" s="1" t="s">
        <v>47</v>
      </c>
      <c r="I2151" s="1" t="s">
        <v>12</v>
      </c>
      <c r="J2151" s="1" t="s">
        <v>237</v>
      </c>
      <c r="K2151" s="1" t="s">
        <v>14</v>
      </c>
      <c r="L2151" s="1" t="s">
        <v>12</v>
      </c>
      <c r="M2151" s="1" t="s">
        <v>12</v>
      </c>
      <c r="N2151" s="1">
        <v>27.12</v>
      </c>
      <c r="O2151" s="1" t="s">
        <v>15</v>
      </c>
      <c r="P2151" s="1">
        <v>5.15</v>
      </c>
      <c r="Q2151" s="1" t="s">
        <v>16</v>
      </c>
      <c r="R2151" s="1" t="str">
        <f>IF(N2151="","",VLOOKUP(N2151,Prior_levels,2,TRUE))</f>
        <v>M</v>
      </c>
    </row>
    <row r="2152" spans="1:18" x14ac:dyDescent="0.2">
      <c r="A2152" s="1" t="s">
        <v>236</v>
      </c>
      <c r="B2152" s="1" t="s">
        <v>10</v>
      </c>
      <c r="C2152" s="2">
        <v>41155</v>
      </c>
      <c r="D2152" s="1">
        <v>10</v>
      </c>
      <c r="E2152" s="1" t="s">
        <v>47</v>
      </c>
      <c r="I2152" s="1" t="s">
        <v>12</v>
      </c>
      <c r="J2152" s="1" t="s">
        <v>237</v>
      </c>
      <c r="K2152" s="1" t="s">
        <v>14</v>
      </c>
      <c r="L2152" s="1" t="s">
        <v>12</v>
      </c>
      <c r="M2152" s="1" t="s">
        <v>12</v>
      </c>
      <c r="N2152" s="1">
        <v>27.12</v>
      </c>
      <c r="O2152" s="1" t="s">
        <v>17</v>
      </c>
      <c r="P2152" s="1">
        <v>0.6</v>
      </c>
      <c r="Q2152" s="1" t="s">
        <v>16</v>
      </c>
      <c r="R2152" s="1" t="str">
        <f>IF(N2152="","",VLOOKUP(N2152,Prior_levels,2,TRUE))</f>
        <v>M</v>
      </c>
    </row>
    <row r="2153" spans="1:18" x14ac:dyDescent="0.2">
      <c r="A2153" s="1" t="s">
        <v>236</v>
      </c>
      <c r="B2153" s="1" t="s">
        <v>10</v>
      </c>
      <c r="C2153" s="2">
        <v>41155</v>
      </c>
      <c r="D2153" s="1">
        <v>10</v>
      </c>
      <c r="E2153" s="1" t="s">
        <v>47</v>
      </c>
      <c r="I2153" s="1" t="s">
        <v>12</v>
      </c>
      <c r="J2153" s="1" t="s">
        <v>237</v>
      </c>
      <c r="K2153" s="1" t="s">
        <v>14</v>
      </c>
      <c r="L2153" s="1" t="s">
        <v>12</v>
      </c>
      <c r="M2153" s="1" t="s">
        <v>12</v>
      </c>
      <c r="N2153" s="1">
        <v>27.12</v>
      </c>
      <c r="O2153" s="1" t="s">
        <v>18</v>
      </c>
      <c r="P2153" s="1">
        <v>10</v>
      </c>
      <c r="Q2153" s="1" t="s">
        <v>16</v>
      </c>
      <c r="R2153" s="1" t="str">
        <f>IF(N2153="","",VLOOKUP(N2153,Prior_levels,2,TRUE))</f>
        <v>M</v>
      </c>
    </row>
    <row r="2154" spans="1:18" x14ac:dyDescent="0.2">
      <c r="A2154" s="1" t="s">
        <v>236</v>
      </c>
      <c r="B2154" s="1" t="s">
        <v>10</v>
      </c>
      <c r="C2154" s="2">
        <v>41155</v>
      </c>
      <c r="D2154" s="1">
        <v>10</v>
      </c>
      <c r="E2154" s="1" t="s">
        <v>47</v>
      </c>
      <c r="I2154" s="1" t="s">
        <v>12</v>
      </c>
      <c r="J2154" s="1" t="s">
        <v>237</v>
      </c>
      <c r="K2154" s="1" t="s">
        <v>14</v>
      </c>
      <c r="L2154" s="1" t="s">
        <v>12</v>
      </c>
      <c r="M2154" s="1" t="s">
        <v>12</v>
      </c>
      <c r="N2154" s="1">
        <v>27.12</v>
      </c>
      <c r="O2154" s="1" t="s">
        <v>19</v>
      </c>
      <c r="P2154" s="1">
        <v>12</v>
      </c>
      <c r="Q2154" s="1" t="s">
        <v>16</v>
      </c>
      <c r="R2154" s="1" t="str">
        <f>IF(N2154="","",VLOOKUP(N2154,Prior_levels,2,TRUE))</f>
        <v>M</v>
      </c>
    </row>
    <row r="2155" spans="1:18" x14ac:dyDescent="0.2">
      <c r="A2155" s="1" t="s">
        <v>236</v>
      </c>
      <c r="B2155" s="1" t="s">
        <v>10</v>
      </c>
      <c r="C2155" s="2">
        <v>41155</v>
      </c>
      <c r="D2155" s="1">
        <v>10</v>
      </c>
      <c r="E2155" s="1" t="s">
        <v>47</v>
      </c>
      <c r="I2155" s="1" t="s">
        <v>12</v>
      </c>
      <c r="J2155" s="1" t="s">
        <v>237</v>
      </c>
      <c r="K2155" s="1" t="s">
        <v>14</v>
      </c>
      <c r="L2155" s="1" t="s">
        <v>12</v>
      </c>
      <c r="M2155" s="1" t="s">
        <v>12</v>
      </c>
      <c r="N2155" s="1">
        <v>27.12</v>
      </c>
      <c r="O2155" s="1" t="s">
        <v>20</v>
      </c>
      <c r="P2155" s="1">
        <v>15</v>
      </c>
      <c r="Q2155" s="1" t="s">
        <v>16</v>
      </c>
      <c r="R2155" s="1" t="str">
        <f>IF(N2155="","",VLOOKUP(N2155,Prior_levels,2,TRUE))</f>
        <v>M</v>
      </c>
    </row>
    <row r="2156" spans="1:18" x14ac:dyDescent="0.2">
      <c r="A2156" s="1" t="s">
        <v>236</v>
      </c>
      <c r="B2156" s="1" t="s">
        <v>10</v>
      </c>
      <c r="C2156" s="2">
        <v>41155</v>
      </c>
      <c r="D2156" s="1">
        <v>10</v>
      </c>
      <c r="E2156" s="1" t="s">
        <v>47</v>
      </c>
      <c r="I2156" s="1" t="s">
        <v>12</v>
      </c>
      <c r="J2156" s="1" t="s">
        <v>237</v>
      </c>
      <c r="K2156" s="1" t="s">
        <v>14</v>
      </c>
      <c r="L2156" s="1" t="s">
        <v>12</v>
      </c>
      <c r="M2156" s="1" t="s">
        <v>12</v>
      </c>
      <c r="N2156" s="1">
        <v>27.12</v>
      </c>
      <c r="O2156" s="1" t="s">
        <v>21</v>
      </c>
      <c r="P2156" s="1">
        <v>14.5</v>
      </c>
      <c r="Q2156" s="1" t="s">
        <v>16</v>
      </c>
      <c r="R2156" s="1" t="str">
        <f>IF(N2156="","",VLOOKUP(N2156,Prior_levels,2,TRUE))</f>
        <v>M</v>
      </c>
    </row>
    <row r="2157" spans="1:18" x14ac:dyDescent="0.2">
      <c r="A2157" s="1" t="s">
        <v>236</v>
      </c>
      <c r="B2157" s="1" t="s">
        <v>10</v>
      </c>
      <c r="C2157" s="2">
        <v>41155</v>
      </c>
      <c r="D2157" s="1">
        <v>10</v>
      </c>
      <c r="E2157" s="1" t="s">
        <v>47</v>
      </c>
      <c r="I2157" s="1" t="s">
        <v>12</v>
      </c>
      <c r="J2157" s="1" t="s">
        <v>237</v>
      </c>
      <c r="K2157" s="1" t="s">
        <v>14</v>
      </c>
      <c r="L2157" s="1" t="s">
        <v>12</v>
      </c>
      <c r="M2157" s="1" t="s">
        <v>12</v>
      </c>
      <c r="N2157" s="1">
        <v>27.12</v>
      </c>
      <c r="O2157" s="1" t="s">
        <v>22</v>
      </c>
      <c r="P2157" s="1">
        <v>-0.05</v>
      </c>
      <c r="Q2157" s="1" t="s">
        <v>16</v>
      </c>
      <c r="R2157" s="1" t="str">
        <f>IF(N2157="","",VLOOKUP(N2157,Prior_levels,2,TRUE))</f>
        <v>M</v>
      </c>
    </row>
    <row r="2158" spans="1:18" x14ac:dyDescent="0.2">
      <c r="A2158" s="1" t="s">
        <v>236</v>
      </c>
      <c r="B2158" s="1" t="s">
        <v>10</v>
      </c>
      <c r="C2158" s="2">
        <v>41155</v>
      </c>
      <c r="D2158" s="1">
        <v>10</v>
      </c>
      <c r="E2158" s="1" t="s">
        <v>47</v>
      </c>
      <c r="I2158" s="1" t="s">
        <v>12</v>
      </c>
      <c r="J2158" s="1" t="s">
        <v>237</v>
      </c>
      <c r="K2158" s="1" t="s">
        <v>14</v>
      </c>
      <c r="L2158" s="1" t="s">
        <v>12</v>
      </c>
      <c r="M2158" s="1" t="s">
        <v>12</v>
      </c>
      <c r="N2158" s="1">
        <v>27.12</v>
      </c>
      <c r="O2158" s="1" t="s">
        <v>23</v>
      </c>
      <c r="P2158" s="1">
        <v>1.36</v>
      </c>
      <c r="Q2158" s="1" t="s">
        <v>16</v>
      </c>
      <c r="R2158" s="1" t="str">
        <f>IF(N2158="","",VLOOKUP(N2158,Prior_levels,2,TRUE))</f>
        <v>M</v>
      </c>
    </row>
    <row r="2159" spans="1:18" x14ac:dyDescent="0.2">
      <c r="A2159" s="1" t="s">
        <v>236</v>
      </c>
      <c r="B2159" s="1" t="s">
        <v>10</v>
      </c>
      <c r="C2159" s="2">
        <v>41155</v>
      </c>
      <c r="D2159" s="1">
        <v>10</v>
      </c>
      <c r="E2159" s="1" t="s">
        <v>47</v>
      </c>
      <c r="I2159" s="1" t="s">
        <v>12</v>
      </c>
      <c r="J2159" s="1" t="s">
        <v>237</v>
      </c>
      <c r="K2159" s="1" t="s">
        <v>14</v>
      </c>
      <c r="L2159" s="1" t="s">
        <v>12</v>
      </c>
      <c r="M2159" s="1" t="s">
        <v>12</v>
      </c>
      <c r="N2159" s="1">
        <v>27.12</v>
      </c>
      <c r="O2159" s="1" t="s">
        <v>24</v>
      </c>
      <c r="P2159" s="1">
        <v>3.75</v>
      </c>
      <c r="Q2159" s="1" t="s">
        <v>16</v>
      </c>
      <c r="R2159" s="1" t="str">
        <f>IF(N2159="","",VLOOKUP(N2159,Prior_levels,2,TRUE))</f>
        <v>M</v>
      </c>
    </row>
    <row r="2160" spans="1:18" x14ac:dyDescent="0.2">
      <c r="A2160" s="1" t="s">
        <v>236</v>
      </c>
      <c r="B2160" s="1" t="s">
        <v>10</v>
      </c>
      <c r="C2160" s="2">
        <v>41155</v>
      </c>
      <c r="D2160" s="1">
        <v>10</v>
      </c>
      <c r="E2160" s="1" t="s">
        <v>47</v>
      </c>
      <c r="I2160" s="1" t="s">
        <v>12</v>
      </c>
      <c r="J2160" s="1" t="s">
        <v>237</v>
      </c>
      <c r="K2160" s="1" t="s">
        <v>14</v>
      </c>
      <c r="L2160" s="1" t="s">
        <v>12</v>
      </c>
      <c r="M2160" s="1" t="s">
        <v>12</v>
      </c>
      <c r="N2160" s="1">
        <v>27.12</v>
      </c>
      <c r="O2160" s="1" t="s">
        <v>25</v>
      </c>
      <c r="P2160" s="1">
        <v>-0.39</v>
      </c>
      <c r="Q2160" s="1" t="s">
        <v>16</v>
      </c>
      <c r="R2160" s="1" t="str">
        <f>IF(N2160="","",VLOOKUP(N2160,Prior_levels,2,TRUE))</f>
        <v>M</v>
      </c>
    </row>
    <row r="2161" spans="1:18" x14ac:dyDescent="0.2">
      <c r="A2161" s="1" t="s">
        <v>236</v>
      </c>
      <c r="B2161" s="1" t="s">
        <v>10</v>
      </c>
      <c r="C2161" s="2">
        <v>41155</v>
      </c>
      <c r="D2161" s="1">
        <v>10</v>
      </c>
      <c r="E2161" s="1" t="s">
        <v>47</v>
      </c>
      <c r="I2161" s="1" t="s">
        <v>12</v>
      </c>
      <c r="J2161" s="1" t="s">
        <v>237</v>
      </c>
      <c r="K2161" s="1" t="s">
        <v>14</v>
      </c>
      <c r="L2161" s="1" t="s">
        <v>12</v>
      </c>
      <c r="M2161" s="1" t="s">
        <v>12</v>
      </c>
      <c r="N2161" s="1">
        <v>27.12</v>
      </c>
      <c r="O2161" s="1" t="s">
        <v>26</v>
      </c>
      <c r="P2161" s="1">
        <v>10</v>
      </c>
      <c r="Q2161" s="1" t="s">
        <v>16</v>
      </c>
      <c r="R2161" s="1" t="str">
        <f>IF(N2161="","",VLOOKUP(N2161,Prior_levels,2,TRUE))</f>
        <v>M</v>
      </c>
    </row>
    <row r="2162" spans="1:18" x14ac:dyDescent="0.2">
      <c r="A2162" s="1" t="s">
        <v>236</v>
      </c>
      <c r="B2162" s="1" t="s">
        <v>10</v>
      </c>
      <c r="C2162" s="2">
        <v>41155</v>
      </c>
      <c r="D2162" s="1">
        <v>10</v>
      </c>
      <c r="E2162" s="1" t="s">
        <v>47</v>
      </c>
      <c r="I2162" s="1" t="s">
        <v>12</v>
      </c>
      <c r="J2162" s="1" t="s">
        <v>237</v>
      </c>
      <c r="K2162" s="1" t="s">
        <v>14</v>
      </c>
      <c r="L2162" s="1" t="s">
        <v>12</v>
      </c>
      <c r="M2162" s="1" t="s">
        <v>12</v>
      </c>
      <c r="N2162" s="1">
        <v>27.12</v>
      </c>
      <c r="O2162" s="1" t="s">
        <v>27</v>
      </c>
      <c r="P2162" s="1" t="s">
        <v>37</v>
      </c>
      <c r="Q2162" s="1" t="s">
        <v>16</v>
      </c>
      <c r="R2162" s="1" t="str">
        <f>IF(N2162="","",VLOOKUP(N2162,Prior_levels,2,TRUE))</f>
        <v>M</v>
      </c>
    </row>
    <row r="2163" spans="1:18" x14ac:dyDescent="0.2">
      <c r="A2163" s="1" t="s">
        <v>236</v>
      </c>
      <c r="B2163" s="1" t="s">
        <v>10</v>
      </c>
      <c r="C2163" s="2">
        <v>41155</v>
      </c>
      <c r="D2163" s="1">
        <v>10</v>
      </c>
      <c r="E2163" s="1" t="s">
        <v>47</v>
      </c>
      <c r="I2163" s="1" t="s">
        <v>12</v>
      </c>
      <c r="J2163" s="1" t="s">
        <v>237</v>
      </c>
      <c r="K2163" s="1" t="s">
        <v>14</v>
      </c>
      <c r="L2163" s="1" t="s">
        <v>12</v>
      </c>
      <c r="M2163" s="1" t="s">
        <v>12</v>
      </c>
      <c r="N2163" s="1">
        <v>27.12</v>
      </c>
      <c r="O2163" s="1" t="s">
        <v>29</v>
      </c>
      <c r="P2163" s="1" t="s">
        <v>37</v>
      </c>
      <c r="Q2163" s="1" t="s">
        <v>16</v>
      </c>
      <c r="R2163" s="1" t="str">
        <f>IF(N2163="","",VLOOKUP(N2163,Prior_levels,2,TRUE))</f>
        <v>M</v>
      </c>
    </row>
    <row r="2164" spans="1:18" x14ac:dyDescent="0.2">
      <c r="A2164" s="1" t="s">
        <v>236</v>
      </c>
      <c r="B2164" s="1" t="s">
        <v>10</v>
      </c>
      <c r="C2164" s="2">
        <v>41155</v>
      </c>
      <c r="D2164" s="1">
        <v>10</v>
      </c>
      <c r="E2164" s="1" t="s">
        <v>47</v>
      </c>
      <c r="I2164" s="1" t="s">
        <v>12</v>
      </c>
      <c r="J2164" s="1" t="s">
        <v>237</v>
      </c>
      <c r="K2164" s="1" t="s">
        <v>14</v>
      </c>
      <c r="L2164" s="1" t="s">
        <v>12</v>
      </c>
      <c r="M2164" s="1" t="s">
        <v>12</v>
      </c>
      <c r="N2164" s="1">
        <v>27.12</v>
      </c>
      <c r="O2164" s="1" t="s">
        <v>30</v>
      </c>
      <c r="P2164" s="1" t="s">
        <v>37</v>
      </c>
      <c r="Q2164" s="1" t="s">
        <v>16</v>
      </c>
      <c r="R2164" s="1" t="str">
        <f>IF(N2164="","",VLOOKUP(N2164,Prior_levels,2,TRUE))</f>
        <v>M</v>
      </c>
    </row>
    <row r="2165" spans="1:18" x14ac:dyDescent="0.2">
      <c r="A2165" s="1" t="s">
        <v>236</v>
      </c>
      <c r="B2165" s="1" t="s">
        <v>10</v>
      </c>
      <c r="C2165" s="2">
        <v>41155</v>
      </c>
      <c r="D2165" s="1">
        <v>10</v>
      </c>
      <c r="E2165" s="1" t="s">
        <v>47</v>
      </c>
      <c r="I2165" s="1" t="s">
        <v>12</v>
      </c>
      <c r="J2165" s="1" t="s">
        <v>237</v>
      </c>
      <c r="K2165" s="1" t="s">
        <v>14</v>
      </c>
      <c r="L2165" s="1" t="s">
        <v>12</v>
      </c>
      <c r="M2165" s="1" t="s">
        <v>12</v>
      </c>
      <c r="N2165" s="1">
        <v>27.12</v>
      </c>
      <c r="O2165" s="1" t="s">
        <v>31</v>
      </c>
      <c r="P2165" s="1" t="s">
        <v>37</v>
      </c>
      <c r="Q2165" s="1" t="s">
        <v>16</v>
      </c>
      <c r="R2165" s="1" t="str">
        <f>IF(N2165="","",VLOOKUP(N2165,Prior_levels,2,TRUE))</f>
        <v>M</v>
      </c>
    </row>
    <row r="2166" spans="1:18" x14ac:dyDescent="0.2">
      <c r="A2166" s="1" t="s">
        <v>236</v>
      </c>
      <c r="B2166" s="1" t="s">
        <v>10</v>
      </c>
      <c r="C2166" s="2">
        <v>41155</v>
      </c>
      <c r="D2166" s="1">
        <v>10</v>
      </c>
      <c r="E2166" s="1" t="s">
        <v>47</v>
      </c>
      <c r="I2166" s="1" t="s">
        <v>12</v>
      </c>
      <c r="J2166" s="1" t="s">
        <v>237</v>
      </c>
      <c r="K2166" s="1" t="s">
        <v>14</v>
      </c>
      <c r="L2166" s="1" t="s">
        <v>12</v>
      </c>
      <c r="M2166" s="1" t="s">
        <v>12</v>
      </c>
      <c r="N2166" s="1">
        <v>27.12</v>
      </c>
      <c r="O2166" s="1" t="s">
        <v>32</v>
      </c>
      <c r="P2166" s="1" t="s">
        <v>37</v>
      </c>
      <c r="Q2166" s="1" t="s">
        <v>16</v>
      </c>
      <c r="R2166" s="1" t="str">
        <f>IF(N2166="","",VLOOKUP(N2166,Prior_levels,2,TRUE))</f>
        <v>M</v>
      </c>
    </row>
    <row r="2167" spans="1:18" x14ac:dyDescent="0.2">
      <c r="A2167" s="1" t="s">
        <v>238</v>
      </c>
      <c r="B2167" s="1" t="s">
        <v>10</v>
      </c>
      <c r="C2167" s="2">
        <v>41155</v>
      </c>
      <c r="D2167" s="1">
        <v>10</v>
      </c>
      <c r="E2167" s="1" t="s">
        <v>47</v>
      </c>
      <c r="H2167" s="1" t="s">
        <v>54</v>
      </c>
      <c r="I2167" s="1" t="s">
        <v>12</v>
      </c>
      <c r="J2167" s="1" t="s">
        <v>74</v>
      </c>
      <c r="K2167" s="1" t="s">
        <v>239</v>
      </c>
      <c r="L2167" s="1" t="s">
        <v>12</v>
      </c>
      <c r="M2167" s="1" t="s">
        <v>12</v>
      </c>
      <c r="N2167" s="1">
        <v>27.12</v>
      </c>
      <c r="O2167" s="1" t="s">
        <v>15</v>
      </c>
      <c r="P2167" s="1">
        <v>5</v>
      </c>
      <c r="Q2167" s="1" t="s">
        <v>16</v>
      </c>
      <c r="R2167" s="1" t="str">
        <f>IF(N2167="","",VLOOKUP(N2167,Prior_levels,2,TRUE))</f>
        <v>M</v>
      </c>
    </row>
    <row r="2168" spans="1:18" x14ac:dyDescent="0.2">
      <c r="A2168" s="1" t="s">
        <v>238</v>
      </c>
      <c r="B2168" s="1" t="s">
        <v>10</v>
      </c>
      <c r="C2168" s="2">
        <v>41155</v>
      </c>
      <c r="D2168" s="1">
        <v>10</v>
      </c>
      <c r="E2168" s="1" t="s">
        <v>47</v>
      </c>
      <c r="H2168" s="1" t="s">
        <v>54</v>
      </c>
      <c r="I2168" s="1" t="s">
        <v>12</v>
      </c>
      <c r="J2168" s="1" t="s">
        <v>74</v>
      </c>
      <c r="K2168" s="1" t="s">
        <v>239</v>
      </c>
      <c r="L2168" s="1" t="s">
        <v>12</v>
      </c>
      <c r="M2168" s="1" t="s">
        <v>12</v>
      </c>
      <c r="N2168" s="1">
        <v>27.12</v>
      </c>
      <c r="O2168" s="1" t="s">
        <v>17</v>
      </c>
      <c r="P2168" s="1">
        <v>0.45</v>
      </c>
      <c r="Q2168" s="1" t="s">
        <v>16</v>
      </c>
      <c r="R2168" s="1" t="str">
        <f>IF(N2168="","",VLOOKUP(N2168,Prior_levels,2,TRUE))</f>
        <v>M</v>
      </c>
    </row>
    <row r="2169" spans="1:18" x14ac:dyDescent="0.2">
      <c r="A2169" s="1" t="s">
        <v>238</v>
      </c>
      <c r="B2169" s="1" t="s">
        <v>10</v>
      </c>
      <c r="C2169" s="2">
        <v>41155</v>
      </c>
      <c r="D2169" s="1">
        <v>10</v>
      </c>
      <c r="E2169" s="1" t="s">
        <v>47</v>
      </c>
      <c r="H2169" s="1" t="s">
        <v>54</v>
      </c>
      <c r="I2169" s="1" t="s">
        <v>12</v>
      </c>
      <c r="J2169" s="1" t="s">
        <v>74</v>
      </c>
      <c r="K2169" s="1" t="s">
        <v>239</v>
      </c>
      <c r="L2169" s="1" t="s">
        <v>12</v>
      </c>
      <c r="M2169" s="1" t="s">
        <v>12</v>
      </c>
      <c r="N2169" s="1">
        <v>27.12</v>
      </c>
      <c r="O2169" s="1" t="s">
        <v>18</v>
      </c>
      <c r="P2169" s="1">
        <v>10</v>
      </c>
      <c r="Q2169" s="1" t="s">
        <v>16</v>
      </c>
      <c r="R2169" s="1" t="str">
        <f>IF(N2169="","",VLOOKUP(N2169,Prior_levels,2,TRUE))</f>
        <v>M</v>
      </c>
    </row>
    <row r="2170" spans="1:18" x14ac:dyDescent="0.2">
      <c r="A2170" s="1" t="s">
        <v>238</v>
      </c>
      <c r="B2170" s="1" t="s">
        <v>10</v>
      </c>
      <c r="C2170" s="2">
        <v>41155</v>
      </c>
      <c r="D2170" s="1">
        <v>10</v>
      </c>
      <c r="E2170" s="1" t="s">
        <v>47</v>
      </c>
      <c r="H2170" s="1" t="s">
        <v>54</v>
      </c>
      <c r="I2170" s="1" t="s">
        <v>12</v>
      </c>
      <c r="J2170" s="1" t="s">
        <v>74</v>
      </c>
      <c r="K2170" s="1" t="s">
        <v>239</v>
      </c>
      <c r="L2170" s="1" t="s">
        <v>12</v>
      </c>
      <c r="M2170" s="1" t="s">
        <v>12</v>
      </c>
      <c r="N2170" s="1">
        <v>27.12</v>
      </c>
      <c r="O2170" s="1" t="s">
        <v>19</v>
      </c>
      <c r="P2170" s="1">
        <v>12</v>
      </c>
      <c r="Q2170" s="1" t="s">
        <v>16</v>
      </c>
      <c r="R2170" s="1" t="str">
        <f>IF(N2170="","",VLOOKUP(N2170,Prior_levels,2,TRUE))</f>
        <v>M</v>
      </c>
    </row>
    <row r="2171" spans="1:18" x14ac:dyDescent="0.2">
      <c r="A2171" s="1" t="s">
        <v>238</v>
      </c>
      <c r="B2171" s="1" t="s">
        <v>10</v>
      </c>
      <c r="C2171" s="2">
        <v>41155</v>
      </c>
      <c r="D2171" s="1">
        <v>10</v>
      </c>
      <c r="E2171" s="1" t="s">
        <v>47</v>
      </c>
      <c r="H2171" s="1" t="s">
        <v>54</v>
      </c>
      <c r="I2171" s="1" t="s">
        <v>12</v>
      </c>
      <c r="J2171" s="1" t="s">
        <v>74</v>
      </c>
      <c r="K2171" s="1" t="s">
        <v>239</v>
      </c>
      <c r="L2171" s="1" t="s">
        <v>12</v>
      </c>
      <c r="M2171" s="1" t="s">
        <v>12</v>
      </c>
      <c r="N2171" s="1">
        <v>27.12</v>
      </c>
      <c r="O2171" s="1" t="s">
        <v>20</v>
      </c>
      <c r="P2171" s="1">
        <v>15</v>
      </c>
      <c r="Q2171" s="1" t="s">
        <v>16</v>
      </c>
      <c r="R2171" s="1" t="str">
        <f>IF(N2171="","",VLOOKUP(N2171,Prior_levels,2,TRUE))</f>
        <v>M</v>
      </c>
    </row>
    <row r="2172" spans="1:18" x14ac:dyDescent="0.2">
      <c r="A2172" s="1" t="s">
        <v>238</v>
      </c>
      <c r="B2172" s="1" t="s">
        <v>10</v>
      </c>
      <c r="C2172" s="2">
        <v>41155</v>
      </c>
      <c r="D2172" s="1">
        <v>10</v>
      </c>
      <c r="E2172" s="1" t="s">
        <v>47</v>
      </c>
      <c r="H2172" s="1" t="s">
        <v>54</v>
      </c>
      <c r="I2172" s="1" t="s">
        <v>12</v>
      </c>
      <c r="J2172" s="1" t="s">
        <v>74</v>
      </c>
      <c r="K2172" s="1" t="s">
        <v>239</v>
      </c>
      <c r="L2172" s="1" t="s">
        <v>12</v>
      </c>
      <c r="M2172" s="1" t="s">
        <v>12</v>
      </c>
      <c r="N2172" s="1">
        <v>27.12</v>
      </c>
      <c r="O2172" s="1" t="s">
        <v>21</v>
      </c>
      <c r="P2172" s="1">
        <v>13</v>
      </c>
      <c r="Q2172" s="1" t="s">
        <v>16</v>
      </c>
      <c r="R2172" s="1" t="str">
        <f>IF(N2172="","",VLOOKUP(N2172,Prior_levels,2,TRUE))</f>
        <v>M</v>
      </c>
    </row>
    <row r="2173" spans="1:18" x14ac:dyDescent="0.2">
      <c r="A2173" s="1" t="s">
        <v>238</v>
      </c>
      <c r="B2173" s="1" t="s">
        <v>10</v>
      </c>
      <c r="C2173" s="2">
        <v>41155</v>
      </c>
      <c r="D2173" s="1">
        <v>10</v>
      </c>
      <c r="E2173" s="1" t="s">
        <v>47</v>
      </c>
      <c r="H2173" s="1" t="s">
        <v>54</v>
      </c>
      <c r="I2173" s="1" t="s">
        <v>12</v>
      </c>
      <c r="J2173" s="1" t="s">
        <v>74</v>
      </c>
      <c r="K2173" s="1" t="s">
        <v>239</v>
      </c>
      <c r="L2173" s="1" t="s">
        <v>12</v>
      </c>
      <c r="M2173" s="1" t="s">
        <v>12</v>
      </c>
      <c r="N2173" s="1">
        <v>27.12</v>
      </c>
      <c r="O2173" s="1" t="s">
        <v>22</v>
      </c>
      <c r="P2173" s="1">
        <v>-0.05</v>
      </c>
      <c r="Q2173" s="1" t="s">
        <v>16</v>
      </c>
      <c r="R2173" s="1" t="str">
        <f>IF(N2173="","",VLOOKUP(N2173,Prior_levels,2,TRUE))</f>
        <v>M</v>
      </c>
    </row>
    <row r="2174" spans="1:18" x14ac:dyDescent="0.2">
      <c r="A2174" s="1" t="s">
        <v>238</v>
      </c>
      <c r="B2174" s="1" t="s">
        <v>10</v>
      </c>
      <c r="C2174" s="2">
        <v>41155</v>
      </c>
      <c r="D2174" s="1">
        <v>10</v>
      </c>
      <c r="E2174" s="1" t="s">
        <v>47</v>
      </c>
      <c r="H2174" s="1" t="s">
        <v>54</v>
      </c>
      <c r="I2174" s="1" t="s">
        <v>12</v>
      </c>
      <c r="J2174" s="1" t="s">
        <v>74</v>
      </c>
      <c r="K2174" s="1" t="s">
        <v>239</v>
      </c>
      <c r="L2174" s="1" t="s">
        <v>12</v>
      </c>
      <c r="M2174" s="1" t="s">
        <v>12</v>
      </c>
      <c r="N2174" s="1">
        <v>27.12</v>
      </c>
      <c r="O2174" s="1" t="s">
        <v>23</v>
      </c>
      <c r="P2174" s="1">
        <v>1.36</v>
      </c>
      <c r="Q2174" s="1" t="s">
        <v>16</v>
      </c>
      <c r="R2174" s="1" t="str">
        <f>IF(N2174="","",VLOOKUP(N2174,Prior_levels,2,TRUE))</f>
        <v>M</v>
      </c>
    </row>
    <row r="2175" spans="1:18" x14ac:dyDescent="0.2">
      <c r="A2175" s="1" t="s">
        <v>238</v>
      </c>
      <c r="B2175" s="1" t="s">
        <v>10</v>
      </c>
      <c r="C2175" s="2">
        <v>41155</v>
      </c>
      <c r="D2175" s="1">
        <v>10</v>
      </c>
      <c r="E2175" s="1" t="s">
        <v>47</v>
      </c>
      <c r="H2175" s="1" t="s">
        <v>54</v>
      </c>
      <c r="I2175" s="1" t="s">
        <v>12</v>
      </c>
      <c r="J2175" s="1" t="s">
        <v>74</v>
      </c>
      <c r="K2175" s="1" t="s">
        <v>239</v>
      </c>
      <c r="L2175" s="1" t="s">
        <v>12</v>
      </c>
      <c r="M2175" s="1" t="s">
        <v>12</v>
      </c>
      <c r="N2175" s="1">
        <v>27.12</v>
      </c>
      <c r="O2175" s="1" t="s">
        <v>24</v>
      </c>
      <c r="P2175" s="1">
        <v>3.75</v>
      </c>
      <c r="Q2175" s="1" t="s">
        <v>16</v>
      </c>
      <c r="R2175" s="1" t="str">
        <f>IF(N2175="","",VLOOKUP(N2175,Prior_levels,2,TRUE))</f>
        <v>M</v>
      </c>
    </row>
    <row r="2176" spans="1:18" x14ac:dyDescent="0.2">
      <c r="A2176" s="1" t="s">
        <v>238</v>
      </c>
      <c r="B2176" s="1" t="s">
        <v>10</v>
      </c>
      <c r="C2176" s="2">
        <v>41155</v>
      </c>
      <c r="D2176" s="1">
        <v>10</v>
      </c>
      <c r="E2176" s="1" t="s">
        <v>47</v>
      </c>
      <c r="H2176" s="1" t="s">
        <v>54</v>
      </c>
      <c r="I2176" s="1" t="s">
        <v>12</v>
      </c>
      <c r="J2176" s="1" t="s">
        <v>74</v>
      </c>
      <c r="K2176" s="1" t="s">
        <v>239</v>
      </c>
      <c r="L2176" s="1" t="s">
        <v>12</v>
      </c>
      <c r="M2176" s="1" t="s">
        <v>12</v>
      </c>
      <c r="N2176" s="1">
        <v>27.12</v>
      </c>
      <c r="O2176" s="1" t="s">
        <v>25</v>
      </c>
      <c r="P2176" s="1">
        <v>-1.89</v>
      </c>
      <c r="Q2176" s="1" t="s">
        <v>16</v>
      </c>
      <c r="R2176" s="1" t="str">
        <f>IF(N2176="","",VLOOKUP(N2176,Prior_levels,2,TRUE))</f>
        <v>M</v>
      </c>
    </row>
    <row r="2177" spans="1:18" x14ac:dyDescent="0.2">
      <c r="A2177" s="1" t="s">
        <v>238</v>
      </c>
      <c r="B2177" s="1" t="s">
        <v>10</v>
      </c>
      <c r="C2177" s="2">
        <v>41155</v>
      </c>
      <c r="D2177" s="1">
        <v>10</v>
      </c>
      <c r="E2177" s="1" t="s">
        <v>47</v>
      </c>
      <c r="H2177" s="1" t="s">
        <v>54</v>
      </c>
      <c r="I2177" s="1" t="s">
        <v>12</v>
      </c>
      <c r="J2177" s="1" t="s">
        <v>74</v>
      </c>
      <c r="K2177" s="1" t="s">
        <v>239</v>
      </c>
      <c r="L2177" s="1" t="s">
        <v>12</v>
      </c>
      <c r="M2177" s="1" t="s">
        <v>12</v>
      </c>
      <c r="N2177" s="1">
        <v>27.12</v>
      </c>
      <c r="O2177" s="1" t="s">
        <v>26</v>
      </c>
      <c r="P2177" s="1">
        <v>9</v>
      </c>
      <c r="Q2177" s="1" t="s">
        <v>16</v>
      </c>
      <c r="R2177" s="1" t="str">
        <f>IF(N2177="","",VLOOKUP(N2177,Prior_levels,2,TRUE))</f>
        <v>M</v>
      </c>
    </row>
    <row r="2178" spans="1:18" x14ac:dyDescent="0.2">
      <c r="A2178" s="1" t="s">
        <v>238</v>
      </c>
      <c r="B2178" s="1" t="s">
        <v>10</v>
      </c>
      <c r="C2178" s="2">
        <v>41155</v>
      </c>
      <c r="D2178" s="1">
        <v>10</v>
      </c>
      <c r="E2178" s="1" t="s">
        <v>47</v>
      </c>
      <c r="H2178" s="1" t="s">
        <v>54</v>
      </c>
      <c r="I2178" s="1" t="s">
        <v>12</v>
      </c>
      <c r="J2178" s="1" t="s">
        <v>74</v>
      </c>
      <c r="K2178" s="1" t="s">
        <v>239</v>
      </c>
      <c r="L2178" s="1" t="s">
        <v>12</v>
      </c>
      <c r="M2178" s="1" t="s">
        <v>12</v>
      </c>
      <c r="N2178" s="1">
        <v>27.12</v>
      </c>
      <c r="O2178" s="1" t="s">
        <v>32</v>
      </c>
      <c r="P2178" s="1" t="s">
        <v>37</v>
      </c>
      <c r="Q2178" s="1" t="s">
        <v>16</v>
      </c>
      <c r="R2178" s="1" t="str">
        <f>IF(N2178="","",VLOOKUP(N2178,Prior_levels,2,TRUE))</f>
        <v>M</v>
      </c>
    </row>
    <row r="2179" spans="1:18" x14ac:dyDescent="0.2">
      <c r="A2179" s="1" t="s">
        <v>238</v>
      </c>
      <c r="B2179" s="1" t="s">
        <v>10</v>
      </c>
      <c r="C2179" s="2">
        <v>41155</v>
      </c>
      <c r="D2179" s="1">
        <v>10</v>
      </c>
      <c r="E2179" s="1" t="s">
        <v>47</v>
      </c>
      <c r="H2179" s="1" t="s">
        <v>54</v>
      </c>
      <c r="I2179" s="1" t="s">
        <v>12</v>
      </c>
      <c r="J2179" s="1" t="s">
        <v>74</v>
      </c>
      <c r="K2179" s="1" t="s">
        <v>239</v>
      </c>
      <c r="L2179" s="1" t="s">
        <v>12</v>
      </c>
      <c r="M2179" s="1" t="s">
        <v>12</v>
      </c>
      <c r="N2179" s="1">
        <v>27.12</v>
      </c>
      <c r="O2179" s="1" t="s">
        <v>27</v>
      </c>
      <c r="P2179" s="1" t="s">
        <v>37</v>
      </c>
      <c r="Q2179" s="1" t="s">
        <v>16</v>
      </c>
      <c r="R2179" s="1" t="str">
        <f>IF(N2179="","",VLOOKUP(N2179,Prior_levels,2,TRUE))</f>
        <v>M</v>
      </c>
    </row>
    <row r="2180" spans="1:18" x14ac:dyDescent="0.2">
      <c r="A2180" s="1" t="s">
        <v>238</v>
      </c>
      <c r="B2180" s="1" t="s">
        <v>10</v>
      </c>
      <c r="C2180" s="2">
        <v>41155</v>
      </c>
      <c r="D2180" s="1">
        <v>10</v>
      </c>
      <c r="E2180" s="1" t="s">
        <v>47</v>
      </c>
      <c r="H2180" s="1" t="s">
        <v>54</v>
      </c>
      <c r="I2180" s="1" t="s">
        <v>12</v>
      </c>
      <c r="J2180" s="1" t="s">
        <v>74</v>
      </c>
      <c r="K2180" s="1" t="s">
        <v>239</v>
      </c>
      <c r="L2180" s="1" t="s">
        <v>12</v>
      </c>
      <c r="M2180" s="1" t="s">
        <v>12</v>
      </c>
      <c r="N2180" s="1">
        <v>27.12</v>
      </c>
      <c r="O2180" s="1" t="s">
        <v>29</v>
      </c>
      <c r="P2180" s="1" t="s">
        <v>37</v>
      </c>
      <c r="Q2180" s="1" t="s">
        <v>16</v>
      </c>
      <c r="R2180" s="1" t="str">
        <f>IF(N2180="","",VLOOKUP(N2180,Prior_levels,2,TRUE))</f>
        <v>M</v>
      </c>
    </row>
    <row r="2181" spans="1:18" x14ac:dyDescent="0.2">
      <c r="A2181" s="1" t="s">
        <v>238</v>
      </c>
      <c r="B2181" s="1" t="s">
        <v>10</v>
      </c>
      <c r="C2181" s="2">
        <v>41155</v>
      </c>
      <c r="D2181" s="1">
        <v>10</v>
      </c>
      <c r="E2181" s="1" t="s">
        <v>47</v>
      </c>
      <c r="H2181" s="1" t="s">
        <v>54</v>
      </c>
      <c r="I2181" s="1" t="s">
        <v>12</v>
      </c>
      <c r="J2181" s="1" t="s">
        <v>74</v>
      </c>
      <c r="K2181" s="1" t="s">
        <v>239</v>
      </c>
      <c r="L2181" s="1" t="s">
        <v>12</v>
      </c>
      <c r="M2181" s="1" t="s">
        <v>12</v>
      </c>
      <c r="N2181" s="1">
        <v>27.12</v>
      </c>
      <c r="O2181" s="1" t="s">
        <v>30</v>
      </c>
      <c r="P2181" s="1" t="s">
        <v>37</v>
      </c>
      <c r="Q2181" s="1" t="s">
        <v>16</v>
      </c>
      <c r="R2181" s="1" t="str">
        <f>IF(N2181="","",VLOOKUP(N2181,Prior_levels,2,TRUE))</f>
        <v>M</v>
      </c>
    </row>
    <row r="2182" spans="1:18" x14ac:dyDescent="0.2">
      <c r="A2182" s="1" t="s">
        <v>238</v>
      </c>
      <c r="B2182" s="1" t="s">
        <v>10</v>
      </c>
      <c r="C2182" s="2">
        <v>41155</v>
      </c>
      <c r="D2182" s="1">
        <v>10</v>
      </c>
      <c r="E2182" s="1" t="s">
        <v>47</v>
      </c>
      <c r="H2182" s="1" t="s">
        <v>54</v>
      </c>
      <c r="I2182" s="1" t="s">
        <v>12</v>
      </c>
      <c r="J2182" s="1" t="s">
        <v>74</v>
      </c>
      <c r="K2182" s="1" t="s">
        <v>239</v>
      </c>
      <c r="L2182" s="1" t="s">
        <v>12</v>
      </c>
      <c r="M2182" s="1" t="s">
        <v>12</v>
      </c>
      <c r="N2182" s="1">
        <v>27.12</v>
      </c>
      <c r="O2182" s="1" t="s">
        <v>31</v>
      </c>
      <c r="P2182" s="1" t="s">
        <v>28</v>
      </c>
      <c r="Q2182" s="1" t="s">
        <v>16</v>
      </c>
      <c r="R2182" s="1" t="str">
        <f>IF(N2182="","",VLOOKUP(N2182,Prior_levels,2,TRUE))</f>
        <v>M</v>
      </c>
    </row>
    <row r="2183" spans="1:18" x14ac:dyDescent="0.2">
      <c r="A2183" s="1" t="s">
        <v>240</v>
      </c>
      <c r="B2183" s="1" t="s">
        <v>10</v>
      </c>
      <c r="C2183" s="2">
        <v>41155</v>
      </c>
      <c r="D2183" s="1">
        <v>10</v>
      </c>
      <c r="E2183" s="1" t="s">
        <v>47</v>
      </c>
      <c r="F2183" s="1" t="s">
        <v>28</v>
      </c>
      <c r="H2183" s="1" t="s">
        <v>48</v>
      </c>
      <c r="I2183" s="1" t="s">
        <v>12</v>
      </c>
      <c r="J2183" s="1" t="s">
        <v>241</v>
      </c>
      <c r="K2183" s="1" t="s">
        <v>137</v>
      </c>
      <c r="L2183" s="1" t="s">
        <v>12</v>
      </c>
      <c r="M2183" s="1" t="s">
        <v>12</v>
      </c>
      <c r="N2183" s="1">
        <v>21.12</v>
      </c>
      <c r="O2183" s="1" t="s">
        <v>15</v>
      </c>
      <c r="P2183" s="1">
        <v>3.7</v>
      </c>
      <c r="Q2183" s="1" t="s">
        <v>16</v>
      </c>
      <c r="R2183" s="1" t="str">
        <f>IF(N2183="","",VLOOKUP(N2183,Prior_levels,2,TRUE))</f>
        <v>L</v>
      </c>
    </row>
    <row r="2184" spans="1:18" x14ac:dyDescent="0.2">
      <c r="A2184" s="1" t="s">
        <v>240</v>
      </c>
      <c r="B2184" s="1" t="s">
        <v>10</v>
      </c>
      <c r="C2184" s="2">
        <v>41155</v>
      </c>
      <c r="D2184" s="1">
        <v>10</v>
      </c>
      <c r="E2184" s="1" t="s">
        <v>47</v>
      </c>
      <c r="F2184" s="1" t="s">
        <v>28</v>
      </c>
      <c r="H2184" s="1" t="s">
        <v>48</v>
      </c>
      <c r="I2184" s="1" t="s">
        <v>12</v>
      </c>
      <c r="J2184" s="1" t="s">
        <v>241</v>
      </c>
      <c r="K2184" s="1" t="s">
        <v>137</v>
      </c>
      <c r="L2184" s="1" t="s">
        <v>12</v>
      </c>
      <c r="M2184" s="1" t="s">
        <v>12</v>
      </c>
      <c r="N2184" s="1">
        <v>21.12</v>
      </c>
      <c r="O2184" s="1" t="s">
        <v>17</v>
      </c>
      <c r="P2184" s="1">
        <v>0.87</v>
      </c>
      <c r="Q2184" s="1" t="s">
        <v>16</v>
      </c>
      <c r="R2184" s="1" t="str">
        <f>IF(N2184="","",VLOOKUP(N2184,Prior_levels,2,TRUE))</f>
        <v>L</v>
      </c>
    </row>
    <row r="2185" spans="1:18" x14ac:dyDescent="0.2">
      <c r="A2185" s="1" t="s">
        <v>240</v>
      </c>
      <c r="B2185" s="1" t="s">
        <v>10</v>
      </c>
      <c r="C2185" s="2">
        <v>41155</v>
      </c>
      <c r="D2185" s="1">
        <v>10</v>
      </c>
      <c r="E2185" s="1" t="s">
        <v>47</v>
      </c>
      <c r="F2185" s="1" t="s">
        <v>28</v>
      </c>
      <c r="H2185" s="1" t="s">
        <v>48</v>
      </c>
      <c r="I2185" s="1" t="s">
        <v>12</v>
      </c>
      <c r="J2185" s="1" t="s">
        <v>241</v>
      </c>
      <c r="K2185" s="1" t="s">
        <v>137</v>
      </c>
      <c r="L2185" s="1" t="s">
        <v>12</v>
      </c>
      <c r="M2185" s="1" t="s">
        <v>12</v>
      </c>
      <c r="N2185" s="1">
        <v>21.12</v>
      </c>
      <c r="O2185" s="1" t="s">
        <v>18</v>
      </c>
      <c r="P2185" s="1">
        <v>10</v>
      </c>
      <c r="Q2185" s="1" t="s">
        <v>16</v>
      </c>
      <c r="R2185" s="1" t="str">
        <f>IF(N2185="","",VLOOKUP(N2185,Prior_levels,2,TRUE))</f>
        <v>L</v>
      </c>
    </row>
    <row r="2186" spans="1:18" x14ac:dyDescent="0.2">
      <c r="A2186" s="1" t="s">
        <v>240</v>
      </c>
      <c r="B2186" s="1" t="s">
        <v>10</v>
      </c>
      <c r="C2186" s="2">
        <v>41155</v>
      </c>
      <c r="D2186" s="1">
        <v>10</v>
      </c>
      <c r="E2186" s="1" t="s">
        <v>47</v>
      </c>
      <c r="F2186" s="1" t="s">
        <v>28</v>
      </c>
      <c r="H2186" s="1" t="s">
        <v>48</v>
      </c>
      <c r="I2186" s="1" t="s">
        <v>12</v>
      </c>
      <c r="J2186" s="1" t="s">
        <v>241</v>
      </c>
      <c r="K2186" s="1" t="s">
        <v>137</v>
      </c>
      <c r="L2186" s="1" t="s">
        <v>12</v>
      </c>
      <c r="M2186" s="1" t="s">
        <v>12</v>
      </c>
      <c r="N2186" s="1">
        <v>21.12</v>
      </c>
      <c r="O2186" s="1" t="s">
        <v>19</v>
      </c>
      <c r="P2186" s="1">
        <v>6</v>
      </c>
      <c r="Q2186" s="1" t="s">
        <v>16</v>
      </c>
      <c r="R2186" s="1" t="str">
        <f>IF(N2186="","",VLOOKUP(N2186,Prior_levels,2,TRUE))</f>
        <v>L</v>
      </c>
    </row>
    <row r="2187" spans="1:18" x14ac:dyDescent="0.2">
      <c r="A2187" s="1" t="s">
        <v>240</v>
      </c>
      <c r="B2187" s="1" t="s">
        <v>10</v>
      </c>
      <c r="C2187" s="2">
        <v>41155</v>
      </c>
      <c r="D2187" s="1">
        <v>10</v>
      </c>
      <c r="E2187" s="1" t="s">
        <v>47</v>
      </c>
      <c r="F2187" s="1" t="s">
        <v>28</v>
      </c>
      <c r="H2187" s="1" t="s">
        <v>48</v>
      </c>
      <c r="I2187" s="1" t="s">
        <v>12</v>
      </c>
      <c r="J2187" s="1" t="s">
        <v>241</v>
      </c>
      <c r="K2187" s="1" t="s">
        <v>137</v>
      </c>
      <c r="L2187" s="1" t="s">
        <v>12</v>
      </c>
      <c r="M2187" s="1" t="s">
        <v>12</v>
      </c>
      <c r="N2187" s="1">
        <v>21.12</v>
      </c>
      <c r="O2187" s="1" t="s">
        <v>20</v>
      </c>
      <c r="P2187" s="1">
        <v>10</v>
      </c>
      <c r="Q2187" s="1" t="s">
        <v>16</v>
      </c>
      <c r="R2187" s="1" t="str">
        <f>IF(N2187="","",VLOOKUP(N2187,Prior_levels,2,TRUE))</f>
        <v>L</v>
      </c>
    </row>
    <row r="2188" spans="1:18" x14ac:dyDescent="0.2">
      <c r="A2188" s="1" t="s">
        <v>240</v>
      </c>
      <c r="B2188" s="1" t="s">
        <v>10</v>
      </c>
      <c r="C2188" s="2">
        <v>41155</v>
      </c>
      <c r="D2188" s="1">
        <v>10</v>
      </c>
      <c r="E2188" s="1" t="s">
        <v>47</v>
      </c>
      <c r="F2188" s="1" t="s">
        <v>28</v>
      </c>
      <c r="H2188" s="1" t="s">
        <v>48</v>
      </c>
      <c r="I2188" s="1" t="s">
        <v>12</v>
      </c>
      <c r="J2188" s="1" t="s">
        <v>241</v>
      </c>
      <c r="K2188" s="1" t="s">
        <v>137</v>
      </c>
      <c r="L2188" s="1" t="s">
        <v>12</v>
      </c>
      <c r="M2188" s="1" t="s">
        <v>12</v>
      </c>
      <c r="N2188" s="1">
        <v>21.12</v>
      </c>
      <c r="O2188" s="1" t="s">
        <v>21</v>
      </c>
      <c r="P2188" s="1">
        <v>11</v>
      </c>
      <c r="Q2188" s="1" t="s">
        <v>16</v>
      </c>
      <c r="R2188" s="1" t="str">
        <f>IF(N2188="","",VLOOKUP(N2188,Prior_levels,2,TRUE))</f>
        <v>L</v>
      </c>
    </row>
    <row r="2189" spans="1:18" x14ac:dyDescent="0.2">
      <c r="A2189" s="1" t="s">
        <v>240</v>
      </c>
      <c r="B2189" s="1" t="s">
        <v>10</v>
      </c>
      <c r="C2189" s="2">
        <v>41155</v>
      </c>
      <c r="D2189" s="1">
        <v>10</v>
      </c>
      <c r="E2189" s="1" t="s">
        <v>47</v>
      </c>
      <c r="F2189" s="1" t="s">
        <v>28</v>
      </c>
      <c r="H2189" s="1" t="s">
        <v>48</v>
      </c>
      <c r="I2189" s="1" t="s">
        <v>12</v>
      </c>
      <c r="J2189" s="1" t="s">
        <v>241</v>
      </c>
      <c r="K2189" s="1" t="s">
        <v>137</v>
      </c>
      <c r="L2189" s="1" t="s">
        <v>12</v>
      </c>
      <c r="M2189" s="1" t="s">
        <v>12</v>
      </c>
      <c r="N2189" s="1">
        <v>21.12</v>
      </c>
      <c r="O2189" s="1" t="s">
        <v>22</v>
      </c>
      <c r="P2189" s="1">
        <v>1.34</v>
      </c>
      <c r="Q2189" s="1" t="s">
        <v>16</v>
      </c>
      <c r="R2189" s="1" t="str">
        <f>IF(N2189="","",VLOOKUP(N2189,Prior_levels,2,TRUE))</f>
        <v>L</v>
      </c>
    </row>
    <row r="2190" spans="1:18" x14ac:dyDescent="0.2">
      <c r="A2190" s="1" t="s">
        <v>240</v>
      </c>
      <c r="B2190" s="1" t="s">
        <v>10</v>
      </c>
      <c r="C2190" s="2">
        <v>41155</v>
      </c>
      <c r="D2190" s="1">
        <v>10</v>
      </c>
      <c r="E2190" s="1" t="s">
        <v>47</v>
      </c>
      <c r="F2190" s="1" t="s">
        <v>28</v>
      </c>
      <c r="H2190" s="1" t="s">
        <v>48</v>
      </c>
      <c r="I2190" s="1" t="s">
        <v>12</v>
      </c>
      <c r="J2190" s="1" t="s">
        <v>241</v>
      </c>
      <c r="K2190" s="1" t="s">
        <v>137</v>
      </c>
      <c r="L2190" s="1" t="s">
        <v>12</v>
      </c>
      <c r="M2190" s="1" t="s">
        <v>12</v>
      </c>
      <c r="N2190" s="1">
        <v>21.12</v>
      </c>
      <c r="O2190" s="1" t="s">
        <v>23</v>
      </c>
      <c r="P2190" s="1">
        <v>0.39</v>
      </c>
      <c r="Q2190" s="1" t="s">
        <v>16</v>
      </c>
      <c r="R2190" s="1" t="str">
        <f>IF(N2190="","",VLOOKUP(N2190,Prior_levels,2,TRUE))</f>
        <v>L</v>
      </c>
    </row>
    <row r="2191" spans="1:18" x14ac:dyDescent="0.2">
      <c r="A2191" s="1" t="s">
        <v>240</v>
      </c>
      <c r="B2191" s="1" t="s">
        <v>10</v>
      </c>
      <c r="C2191" s="2">
        <v>41155</v>
      </c>
      <c r="D2191" s="1">
        <v>10</v>
      </c>
      <c r="E2191" s="1" t="s">
        <v>47</v>
      </c>
      <c r="F2191" s="1" t="s">
        <v>28</v>
      </c>
      <c r="H2191" s="1" t="s">
        <v>48</v>
      </c>
      <c r="I2191" s="1" t="s">
        <v>12</v>
      </c>
      <c r="J2191" s="1" t="s">
        <v>241</v>
      </c>
      <c r="K2191" s="1" t="s">
        <v>137</v>
      </c>
      <c r="L2191" s="1" t="s">
        <v>12</v>
      </c>
      <c r="M2191" s="1" t="s">
        <v>12</v>
      </c>
      <c r="N2191" s="1">
        <v>21.12</v>
      </c>
      <c r="O2191" s="1" t="s">
        <v>24</v>
      </c>
      <c r="P2191" s="1">
        <v>5.49</v>
      </c>
      <c r="Q2191" s="1" t="s">
        <v>16</v>
      </c>
      <c r="R2191" s="1" t="str">
        <f>IF(N2191="","",VLOOKUP(N2191,Prior_levels,2,TRUE))</f>
        <v>L</v>
      </c>
    </row>
    <row r="2192" spans="1:18" x14ac:dyDescent="0.2">
      <c r="A2192" s="1" t="s">
        <v>240</v>
      </c>
      <c r="B2192" s="1" t="s">
        <v>10</v>
      </c>
      <c r="C2192" s="2">
        <v>41155</v>
      </c>
      <c r="D2192" s="1">
        <v>10</v>
      </c>
      <c r="E2192" s="1" t="s">
        <v>47</v>
      </c>
      <c r="F2192" s="1" t="s">
        <v>28</v>
      </c>
      <c r="H2192" s="1" t="s">
        <v>48</v>
      </c>
      <c r="I2192" s="1" t="s">
        <v>12</v>
      </c>
      <c r="J2192" s="1" t="s">
        <v>241</v>
      </c>
      <c r="K2192" s="1" t="s">
        <v>137</v>
      </c>
      <c r="L2192" s="1" t="s">
        <v>12</v>
      </c>
      <c r="M2192" s="1" t="s">
        <v>12</v>
      </c>
      <c r="N2192" s="1">
        <v>21.12</v>
      </c>
      <c r="O2192" s="1" t="s">
        <v>25</v>
      </c>
      <c r="P2192" s="1">
        <v>-0.2</v>
      </c>
      <c r="Q2192" s="1" t="s">
        <v>16</v>
      </c>
      <c r="R2192" s="1" t="str">
        <f>IF(N2192="","",VLOOKUP(N2192,Prior_levels,2,TRUE))</f>
        <v>L</v>
      </c>
    </row>
    <row r="2193" spans="1:18" x14ac:dyDescent="0.2">
      <c r="A2193" s="1" t="s">
        <v>240</v>
      </c>
      <c r="B2193" s="1" t="s">
        <v>10</v>
      </c>
      <c r="C2193" s="2">
        <v>41155</v>
      </c>
      <c r="D2193" s="1">
        <v>10</v>
      </c>
      <c r="E2193" s="1" t="s">
        <v>47</v>
      </c>
      <c r="F2193" s="1" t="s">
        <v>28</v>
      </c>
      <c r="H2193" s="1" t="s">
        <v>48</v>
      </c>
      <c r="I2193" s="1" t="s">
        <v>12</v>
      </c>
      <c r="J2193" s="1" t="s">
        <v>241</v>
      </c>
      <c r="K2193" s="1" t="s">
        <v>137</v>
      </c>
      <c r="L2193" s="1" t="s">
        <v>12</v>
      </c>
      <c r="M2193" s="1" t="s">
        <v>12</v>
      </c>
      <c r="N2193" s="1">
        <v>21.12</v>
      </c>
      <c r="O2193" s="1" t="s">
        <v>26</v>
      </c>
      <c r="P2193" s="1">
        <v>5</v>
      </c>
      <c r="Q2193" s="1" t="s">
        <v>16</v>
      </c>
      <c r="R2193" s="1" t="str">
        <f>IF(N2193="","",VLOOKUP(N2193,Prior_levels,2,TRUE))</f>
        <v>L</v>
      </c>
    </row>
    <row r="2194" spans="1:18" x14ac:dyDescent="0.2">
      <c r="A2194" s="1" t="s">
        <v>240</v>
      </c>
      <c r="B2194" s="1" t="s">
        <v>10</v>
      </c>
      <c r="C2194" s="2">
        <v>41155</v>
      </c>
      <c r="D2194" s="1">
        <v>10</v>
      </c>
      <c r="E2194" s="1" t="s">
        <v>47</v>
      </c>
      <c r="F2194" s="1" t="s">
        <v>28</v>
      </c>
      <c r="H2194" s="1" t="s">
        <v>48</v>
      </c>
      <c r="I2194" s="1" t="s">
        <v>12</v>
      </c>
      <c r="J2194" s="1" t="s">
        <v>241</v>
      </c>
      <c r="K2194" s="1" t="s">
        <v>137</v>
      </c>
      <c r="L2194" s="1" t="s">
        <v>12</v>
      </c>
      <c r="M2194" s="1" t="s">
        <v>12</v>
      </c>
      <c r="N2194" s="1">
        <v>21.12</v>
      </c>
      <c r="O2194" s="1" t="s">
        <v>27</v>
      </c>
      <c r="P2194" s="1" t="s">
        <v>28</v>
      </c>
      <c r="Q2194" s="1" t="s">
        <v>16</v>
      </c>
      <c r="R2194" s="1" t="str">
        <f>IF(N2194="","",VLOOKUP(N2194,Prior_levels,2,TRUE))</f>
        <v>L</v>
      </c>
    </row>
    <row r="2195" spans="1:18" x14ac:dyDescent="0.2">
      <c r="A2195" s="1" t="s">
        <v>240</v>
      </c>
      <c r="B2195" s="1" t="s">
        <v>10</v>
      </c>
      <c r="C2195" s="2">
        <v>41155</v>
      </c>
      <c r="D2195" s="1">
        <v>10</v>
      </c>
      <c r="E2195" s="1" t="s">
        <v>47</v>
      </c>
      <c r="F2195" s="1" t="s">
        <v>28</v>
      </c>
      <c r="H2195" s="1" t="s">
        <v>48</v>
      </c>
      <c r="I2195" s="1" t="s">
        <v>12</v>
      </c>
      <c r="J2195" s="1" t="s">
        <v>241</v>
      </c>
      <c r="K2195" s="1" t="s">
        <v>137</v>
      </c>
      <c r="L2195" s="1" t="s">
        <v>12</v>
      </c>
      <c r="M2195" s="1" t="s">
        <v>12</v>
      </c>
      <c r="N2195" s="1">
        <v>21.12</v>
      </c>
      <c r="O2195" s="1" t="s">
        <v>29</v>
      </c>
      <c r="P2195" s="1" t="s">
        <v>37</v>
      </c>
      <c r="Q2195" s="1" t="s">
        <v>16</v>
      </c>
      <c r="R2195" s="1" t="str">
        <f>IF(N2195="","",VLOOKUP(N2195,Prior_levels,2,TRUE))</f>
        <v>L</v>
      </c>
    </row>
    <row r="2196" spans="1:18" x14ac:dyDescent="0.2">
      <c r="A2196" s="1" t="s">
        <v>240</v>
      </c>
      <c r="B2196" s="1" t="s">
        <v>10</v>
      </c>
      <c r="C2196" s="2">
        <v>41155</v>
      </c>
      <c r="D2196" s="1">
        <v>10</v>
      </c>
      <c r="E2196" s="1" t="s">
        <v>47</v>
      </c>
      <c r="F2196" s="1" t="s">
        <v>28</v>
      </c>
      <c r="H2196" s="1" t="s">
        <v>48</v>
      </c>
      <c r="I2196" s="1" t="s">
        <v>12</v>
      </c>
      <c r="J2196" s="1" t="s">
        <v>241</v>
      </c>
      <c r="K2196" s="1" t="s">
        <v>137</v>
      </c>
      <c r="L2196" s="1" t="s">
        <v>12</v>
      </c>
      <c r="M2196" s="1" t="s">
        <v>12</v>
      </c>
      <c r="N2196" s="1">
        <v>21.12</v>
      </c>
      <c r="O2196" s="1" t="s">
        <v>30</v>
      </c>
      <c r="P2196" s="1" t="s">
        <v>28</v>
      </c>
      <c r="Q2196" s="1" t="s">
        <v>16</v>
      </c>
      <c r="R2196" s="1" t="str">
        <f>IF(N2196="","",VLOOKUP(N2196,Prior_levels,2,TRUE))</f>
        <v>L</v>
      </c>
    </row>
    <row r="2197" spans="1:18" x14ac:dyDescent="0.2">
      <c r="A2197" s="1" t="s">
        <v>240</v>
      </c>
      <c r="B2197" s="1" t="s">
        <v>10</v>
      </c>
      <c r="C2197" s="2">
        <v>41155</v>
      </c>
      <c r="D2197" s="1">
        <v>10</v>
      </c>
      <c r="E2197" s="1" t="s">
        <v>47</v>
      </c>
      <c r="F2197" s="1" t="s">
        <v>28</v>
      </c>
      <c r="H2197" s="1" t="s">
        <v>48</v>
      </c>
      <c r="I2197" s="1" t="s">
        <v>12</v>
      </c>
      <c r="J2197" s="1" t="s">
        <v>241</v>
      </c>
      <c r="K2197" s="1" t="s">
        <v>137</v>
      </c>
      <c r="L2197" s="1" t="s">
        <v>12</v>
      </c>
      <c r="M2197" s="1" t="s">
        <v>12</v>
      </c>
      <c r="N2197" s="1">
        <v>21.12</v>
      </c>
      <c r="O2197" s="1" t="s">
        <v>31</v>
      </c>
      <c r="P2197" s="1" t="s">
        <v>28</v>
      </c>
      <c r="Q2197" s="1" t="s">
        <v>16</v>
      </c>
      <c r="R2197" s="1" t="str">
        <f>IF(N2197="","",VLOOKUP(N2197,Prior_levels,2,TRUE))</f>
        <v>L</v>
      </c>
    </row>
    <row r="2198" spans="1:18" x14ac:dyDescent="0.2">
      <c r="A2198" s="1" t="s">
        <v>240</v>
      </c>
      <c r="B2198" s="1" t="s">
        <v>10</v>
      </c>
      <c r="C2198" s="2">
        <v>41155</v>
      </c>
      <c r="D2198" s="1">
        <v>10</v>
      </c>
      <c r="E2198" s="1" t="s">
        <v>47</v>
      </c>
      <c r="F2198" s="1" t="s">
        <v>28</v>
      </c>
      <c r="H2198" s="1" t="s">
        <v>48</v>
      </c>
      <c r="I2198" s="1" t="s">
        <v>12</v>
      </c>
      <c r="J2198" s="1" t="s">
        <v>241</v>
      </c>
      <c r="K2198" s="1" t="s">
        <v>137</v>
      </c>
      <c r="L2198" s="1" t="s">
        <v>12</v>
      </c>
      <c r="M2198" s="1" t="s">
        <v>12</v>
      </c>
      <c r="N2198" s="1">
        <v>21.12</v>
      </c>
      <c r="O2198" s="1" t="s">
        <v>32</v>
      </c>
      <c r="P2198" s="1" t="s">
        <v>28</v>
      </c>
      <c r="Q2198" s="1" t="s">
        <v>16</v>
      </c>
      <c r="R2198" s="1" t="str">
        <f>IF(N2198="","",VLOOKUP(N2198,Prior_levels,2,TRUE))</f>
        <v>L</v>
      </c>
    </row>
    <row r="2199" spans="1:18" x14ac:dyDescent="0.2">
      <c r="A2199" s="1" t="s">
        <v>242</v>
      </c>
      <c r="B2199" s="1" t="s">
        <v>12</v>
      </c>
      <c r="C2199" s="2">
        <v>41155</v>
      </c>
      <c r="D2199" s="1">
        <v>10</v>
      </c>
      <c r="E2199" s="1" t="s">
        <v>42</v>
      </c>
      <c r="H2199" s="1" t="s">
        <v>54</v>
      </c>
      <c r="I2199" s="1" t="s">
        <v>12</v>
      </c>
      <c r="J2199" s="1" t="s">
        <v>151</v>
      </c>
      <c r="K2199" s="1" t="s">
        <v>14</v>
      </c>
      <c r="L2199" s="1" t="s">
        <v>12</v>
      </c>
      <c r="M2199" s="1" t="s">
        <v>12</v>
      </c>
      <c r="N2199" s="1">
        <v>27.12</v>
      </c>
      <c r="O2199" s="1" t="s">
        <v>15</v>
      </c>
      <c r="P2199" s="1">
        <v>4.5</v>
      </c>
      <c r="Q2199" s="1" t="s">
        <v>16</v>
      </c>
      <c r="R2199" s="1" t="str">
        <f>IF(N2199="","",VLOOKUP(N2199,Prior_levels,2,TRUE))</f>
        <v>M</v>
      </c>
    </row>
    <row r="2200" spans="1:18" x14ac:dyDescent="0.2">
      <c r="A2200" s="1" t="s">
        <v>242</v>
      </c>
      <c r="B2200" s="1" t="s">
        <v>12</v>
      </c>
      <c r="C2200" s="2">
        <v>41155</v>
      </c>
      <c r="D2200" s="1">
        <v>10</v>
      </c>
      <c r="E2200" s="1" t="s">
        <v>42</v>
      </c>
      <c r="H2200" s="1" t="s">
        <v>54</v>
      </c>
      <c r="I2200" s="1" t="s">
        <v>12</v>
      </c>
      <c r="J2200" s="1" t="s">
        <v>151</v>
      </c>
      <c r="K2200" s="1" t="s">
        <v>14</v>
      </c>
      <c r="L2200" s="1" t="s">
        <v>12</v>
      </c>
      <c r="M2200" s="1" t="s">
        <v>12</v>
      </c>
      <c r="N2200" s="1">
        <v>27.12</v>
      </c>
      <c r="O2200" s="1" t="s">
        <v>17</v>
      </c>
      <c r="P2200" s="1">
        <v>-0.05</v>
      </c>
      <c r="Q2200" s="1" t="s">
        <v>16</v>
      </c>
      <c r="R2200" s="1" t="str">
        <f>IF(N2200="","",VLOOKUP(N2200,Prior_levels,2,TRUE))</f>
        <v>M</v>
      </c>
    </row>
    <row r="2201" spans="1:18" x14ac:dyDescent="0.2">
      <c r="A2201" s="1" t="s">
        <v>242</v>
      </c>
      <c r="B2201" s="1" t="s">
        <v>12</v>
      </c>
      <c r="C2201" s="2">
        <v>41155</v>
      </c>
      <c r="D2201" s="1">
        <v>10</v>
      </c>
      <c r="E2201" s="1" t="s">
        <v>42</v>
      </c>
      <c r="H2201" s="1" t="s">
        <v>54</v>
      </c>
      <c r="I2201" s="1" t="s">
        <v>12</v>
      </c>
      <c r="J2201" s="1" t="s">
        <v>151</v>
      </c>
      <c r="K2201" s="1" t="s">
        <v>14</v>
      </c>
      <c r="L2201" s="1" t="s">
        <v>12</v>
      </c>
      <c r="M2201" s="1" t="s">
        <v>12</v>
      </c>
      <c r="N2201" s="1">
        <v>27.12</v>
      </c>
      <c r="O2201" s="1" t="s">
        <v>18</v>
      </c>
      <c r="P2201" s="1">
        <v>10</v>
      </c>
      <c r="Q2201" s="1" t="s">
        <v>16</v>
      </c>
      <c r="R2201" s="1" t="str">
        <f>IF(N2201="","",VLOOKUP(N2201,Prior_levels,2,TRUE))</f>
        <v>M</v>
      </c>
    </row>
    <row r="2202" spans="1:18" x14ac:dyDescent="0.2">
      <c r="A2202" s="1" t="s">
        <v>242</v>
      </c>
      <c r="B2202" s="1" t="s">
        <v>12</v>
      </c>
      <c r="C2202" s="2">
        <v>41155</v>
      </c>
      <c r="D2202" s="1">
        <v>10</v>
      </c>
      <c r="E2202" s="1" t="s">
        <v>42</v>
      </c>
      <c r="H2202" s="1" t="s">
        <v>54</v>
      </c>
      <c r="I2202" s="1" t="s">
        <v>12</v>
      </c>
      <c r="J2202" s="1" t="s">
        <v>151</v>
      </c>
      <c r="K2202" s="1" t="s">
        <v>14</v>
      </c>
      <c r="L2202" s="1" t="s">
        <v>12</v>
      </c>
      <c r="M2202" s="1" t="s">
        <v>12</v>
      </c>
      <c r="N2202" s="1">
        <v>27.12</v>
      </c>
      <c r="O2202" s="1" t="s">
        <v>19</v>
      </c>
      <c r="P2202" s="1">
        <v>10</v>
      </c>
      <c r="Q2202" s="1" t="s">
        <v>16</v>
      </c>
      <c r="R2202" s="1" t="str">
        <f>IF(N2202="","",VLOOKUP(N2202,Prior_levels,2,TRUE))</f>
        <v>M</v>
      </c>
    </row>
    <row r="2203" spans="1:18" x14ac:dyDescent="0.2">
      <c r="A2203" s="1" t="s">
        <v>242</v>
      </c>
      <c r="B2203" s="1" t="s">
        <v>12</v>
      </c>
      <c r="C2203" s="2">
        <v>41155</v>
      </c>
      <c r="D2203" s="1">
        <v>10</v>
      </c>
      <c r="E2203" s="1" t="s">
        <v>42</v>
      </c>
      <c r="H2203" s="1" t="s">
        <v>54</v>
      </c>
      <c r="I2203" s="1" t="s">
        <v>12</v>
      </c>
      <c r="J2203" s="1" t="s">
        <v>151</v>
      </c>
      <c r="K2203" s="1" t="s">
        <v>14</v>
      </c>
      <c r="L2203" s="1" t="s">
        <v>12</v>
      </c>
      <c r="M2203" s="1" t="s">
        <v>12</v>
      </c>
      <c r="N2203" s="1">
        <v>27.12</v>
      </c>
      <c r="O2203" s="1" t="s">
        <v>20</v>
      </c>
      <c r="P2203" s="1">
        <v>12</v>
      </c>
      <c r="Q2203" s="1" t="s">
        <v>16</v>
      </c>
      <c r="R2203" s="1" t="str">
        <f>IF(N2203="","",VLOOKUP(N2203,Prior_levels,2,TRUE))</f>
        <v>M</v>
      </c>
    </row>
    <row r="2204" spans="1:18" x14ac:dyDescent="0.2">
      <c r="A2204" s="1" t="s">
        <v>242</v>
      </c>
      <c r="B2204" s="1" t="s">
        <v>12</v>
      </c>
      <c r="C2204" s="2">
        <v>41155</v>
      </c>
      <c r="D2204" s="1">
        <v>10</v>
      </c>
      <c r="E2204" s="1" t="s">
        <v>42</v>
      </c>
      <c r="H2204" s="1" t="s">
        <v>54</v>
      </c>
      <c r="I2204" s="1" t="s">
        <v>12</v>
      </c>
      <c r="J2204" s="1" t="s">
        <v>151</v>
      </c>
      <c r="K2204" s="1" t="s">
        <v>14</v>
      </c>
      <c r="L2204" s="1" t="s">
        <v>12</v>
      </c>
      <c r="M2204" s="1" t="s">
        <v>12</v>
      </c>
      <c r="N2204" s="1">
        <v>27.12</v>
      </c>
      <c r="O2204" s="1" t="s">
        <v>21</v>
      </c>
      <c r="P2204" s="1">
        <v>13</v>
      </c>
      <c r="Q2204" s="1" t="s">
        <v>16</v>
      </c>
      <c r="R2204" s="1" t="str">
        <f>IF(N2204="","",VLOOKUP(N2204,Prior_levels,2,TRUE))</f>
        <v>M</v>
      </c>
    </row>
    <row r="2205" spans="1:18" x14ac:dyDescent="0.2">
      <c r="A2205" s="1" t="s">
        <v>242</v>
      </c>
      <c r="B2205" s="1" t="s">
        <v>12</v>
      </c>
      <c r="C2205" s="2">
        <v>41155</v>
      </c>
      <c r="D2205" s="1">
        <v>10</v>
      </c>
      <c r="E2205" s="1" t="s">
        <v>42</v>
      </c>
      <c r="H2205" s="1" t="s">
        <v>54</v>
      </c>
      <c r="I2205" s="1" t="s">
        <v>12</v>
      </c>
      <c r="J2205" s="1" t="s">
        <v>151</v>
      </c>
      <c r="K2205" s="1" t="s">
        <v>14</v>
      </c>
      <c r="L2205" s="1" t="s">
        <v>12</v>
      </c>
      <c r="M2205" s="1" t="s">
        <v>12</v>
      </c>
      <c r="N2205" s="1">
        <v>27.12</v>
      </c>
      <c r="O2205" s="1" t="s">
        <v>22</v>
      </c>
      <c r="P2205" s="1">
        <v>-0.05</v>
      </c>
      <c r="Q2205" s="1" t="s">
        <v>16</v>
      </c>
      <c r="R2205" s="1" t="str">
        <f>IF(N2205="","",VLOOKUP(N2205,Prior_levels,2,TRUE))</f>
        <v>M</v>
      </c>
    </row>
    <row r="2206" spans="1:18" x14ac:dyDescent="0.2">
      <c r="A2206" s="1" t="s">
        <v>242</v>
      </c>
      <c r="B2206" s="1" t="s">
        <v>12</v>
      </c>
      <c r="C2206" s="2">
        <v>41155</v>
      </c>
      <c r="D2206" s="1">
        <v>10</v>
      </c>
      <c r="E2206" s="1" t="s">
        <v>42</v>
      </c>
      <c r="H2206" s="1" t="s">
        <v>54</v>
      </c>
      <c r="I2206" s="1" t="s">
        <v>12</v>
      </c>
      <c r="J2206" s="1" t="s">
        <v>151</v>
      </c>
      <c r="K2206" s="1" t="s">
        <v>14</v>
      </c>
      <c r="L2206" s="1" t="s">
        <v>12</v>
      </c>
      <c r="M2206" s="1" t="s">
        <v>12</v>
      </c>
      <c r="N2206" s="1">
        <v>27.12</v>
      </c>
      <c r="O2206" s="1" t="s">
        <v>23</v>
      </c>
      <c r="P2206" s="1">
        <v>0.36</v>
      </c>
      <c r="Q2206" s="1" t="s">
        <v>16</v>
      </c>
      <c r="R2206" s="1" t="str">
        <f>IF(N2206="","",VLOOKUP(N2206,Prior_levels,2,TRUE))</f>
        <v>M</v>
      </c>
    </row>
    <row r="2207" spans="1:18" x14ac:dyDescent="0.2">
      <c r="A2207" s="1" t="s">
        <v>242</v>
      </c>
      <c r="B2207" s="1" t="s">
        <v>12</v>
      </c>
      <c r="C2207" s="2">
        <v>41155</v>
      </c>
      <c r="D2207" s="1">
        <v>10</v>
      </c>
      <c r="E2207" s="1" t="s">
        <v>42</v>
      </c>
      <c r="H2207" s="1" t="s">
        <v>54</v>
      </c>
      <c r="I2207" s="1" t="s">
        <v>12</v>
      </c>
      <c r="J2207" s="1" t="s">
        <v>151</v>
      </c>
      <c r="K2207" s="1" t="s">
        <v>14</v>
      </c>
      <c r="L2207" s="1" t="s">
        <v>12</v>
      </c>
      <c r="M2207" s="1" t="s">
        <v>12</v>
      </c>
      <c r="N2207" s="1">
        <v>27.12</v>
      </c>
      <c r="O2207" s="1" t="s">
        <v>25</v>
      </c>
      <c r="P2207" s="1">
        <v>-1.89</v>
      </c>
      <c r="Q2207" s="1" t="s">
        <v>16</v>
      </c>
      <c r="R2207" s="1" t="str">
        <f>IF(N2207="","",VLOOKUP(N2207,Prior_levels,2,TRUE))</f>
        <v>M</v>
      </c>
    </row>
    <row r="2208" spans="1:18" x14ac:dyDescent="0.2">
      <c r="A2208" s="1" t="s">
        <v>242</v>
      </c>
      <c r="B2208" s="1" t="s">
        <v>12</v>
      </c>
      <c r="C2208" s="2">
        <v>41155</v>
      </c>
      <c r="D2208" s="1">
        <v>10</v>
      </c>
      <c r="E2208" s="1" t="s">
        <v>42</v>
      </c>
      <c r="H2208" s="1" t="s">
        <v>54</v>
      </c>
      <c r="I2208" s="1" t="s">
        <v>12</v>
      </c>
      <c r="J2208" s="1" t="s">
        <v>151</v>
      </c>
      <c r="K2208" s="1" t="s">
        <v>14</v>
      </c>
      <c r="L2208" s="1" t="s">
        <v>12</v>
      </c>
      <c r="M2208" s="1" t="s">
        <v>12</v>
      </c>
      <c r="N2208" s="1">
        <v>27.12</v>
      </c>
      <c r="O2208" s="1" t="s">
        <v>26</v>
      </c>
      <c r="P2208" s="1">
        <v>10</v>
      </c>
      <c r="Q2208" s="1" t="s">
        <v>16</v>
      </c>
      <c r="R2208" s="1" t="str">
        <f>IF(N2208="","",VLOOKUP(N2208,Prior_levels,2,TRUE))</f>
        <v>M</v>
      </c>
    </row>
    <row r="2209" spans="1:18" x14ac:dyDescent="0.2">
      <c r="A2209" s="1" t="s">
        <v>242</v>
      </c>
      <c r="B2209" s="1" t="s">
        <v>12</v>
      </c>
      <c r="C2209" s="2">
        <v>41155</v>
      </c>
      <c r="D2209" s="1">
        <v>10</v>
      </c>
      <c r="E2209" s="1" t="s">
        <v>42</v>
      </c>
      <c r="H2209" s="1" t="s">
        <v>54</v>
      </c>
      <c r="I2209" s="1" t="s">
        <v>12</v>
      </c>
      <c r="J2209" s="1" t="s">
        <v>151</v>
      </c>
      <c r="K2209" s="1" t="s">
        <v>14</v>
      </c>
      <c r="L2209" s="1" t="s">
        <v>12</v>
      </c>
      <c r="M2209" s="1" t="s">
        <v>12</v>
      </c>
      <c r="N2209" s="1">
        <v>27.12</v>
      </c>
      <c r="O2209" s="1" t="s">
        <v>24</v>
      </c>
      <c r="P2209" s="1">
        <v>0.75</v>
      </c>
      <c r="Q2209" s="1" t="s">
        <v>16</v>
      </c>
      <c r="R2209" s="1" t="str">
        <f>IF(N2209="","",VLOOKUP(N2209,Prior_levels,2,TRUE))</f>
        <v>M</v>
      </c>
    </row>
    <row r="2210" spans="1:18" x14ac:dyDescent="0.2">
      <c r="A2210" s="1" t="s">
        <v>242</v>
      </c>
      <c r="B2210" s="1" t="s">
        <v>12</v>
      </c>
      <c r="C2210" s="2">
        <v>41155</v>
      </c>
      <c r="D2210" s="1">
        <v>10</v>
      </c>
      <c r="E2210" s="1" t="s">
        <v>42</v>
      </c>
      <c r="H2210" s="1" t="s">
        <v>54</v>
      </c>
      <c r="I2210" s="1" t="s">
        <v>12</v>
      </c>
      <c r="J2210" s="1" t="s">
        <v>151</v>
      </c>
      <c r="K2210" s="1" t="s">
        <v>14</v>
      </c>
      <c r="L2210" s="1" t="s">
        <v>12</v>
      </c>
      <c r="M2210" s="1" t="s">
        <v>12</v>
      </c>
      <c r="N2210" s="1">
        <v>27.12</v>
      </c>
      <c r="O2210" s="1" t="s">
        <v>27</v>
      </c>
      <c r="P2210" s="1" t="s">
        <v>37</v>
      </c>
      <c r="Q2210" s="1" t="s">
        <v>16</v>
      </c>
      <c r="R2210" s="1" t="str">
        <f>IF(N2210="","",VLOOKUP(N2210,Prior_levels,2,TRUE))</f>
        <v>M</v>
      </c>
    </row>
    <row r="2211" spans="1:18" x14ac:dyDescent="0.2">
      <c r="A2211" s="1" t="s">
        <v>242</v>
      </c>
      <c r="B2211" s="1" t="s">
        <v>12</v>
      </c>
      <c r="C2211" s="2">
        <v>41155</v>
      </c>
      <c r="D2211" s="1">
        <v>10</v>
      </c>
      <c r="E2211" s="1" t="s">
        <v>42</v>
      </c>
      <c r="H2211" s="1" t="s">
        <v>54</v>
      </c>
      <c r="I2211" s="1" t="s">
        <v>12</v>
      </c>
      <c r="J2211" s="1" t="s">
        <v>151</v>
      </c>
      <c r="K2211" s="1" t="s">
        <v>14</v>
      </c>
      <c r="L2211" s="1" t="s">
        <v>12</v>
      </c>
      <c r="M2211" s="1" t="s">
        <v>12</v>
      </c>
      <c r="N2211" s="1">
        <v>27.12</v>
      </c>
      <c r="O2211" s="1" t="s">
        <v>29</v>
      </c>
      <c r="P2211" s="1" t="s">
        <v>37</v>
      </c>
      <c r="Q2211" s="1" t="s">
        <v>16</v>
      </c>
      <c r="R2211" s="1" t="str">
        <f>IF(N2211="","",VLOOKUP(N2211,Prior_levels,2,TRUE))</f>
        <v>M</v>
      </c>
    </row>
    <row r="2212" spans="1:18" x14ac:dyDescent="0.2">
      <c r="A2212" s="1" t="s">
        <v>242</v>
      </c>
      <c r="B2212" s="1" t="s">
        <v>12</v>
      </c>
      <c r="C2212" s="2">
        <v>41155</v>
      </c>
      <c r="D2212" s="1">
        <v>10</v>
      </c>
      <c r="E2212" s="1" t="s">
        <v>42</v>
      </c>
      <c r="H2212" s="1" t="s">
        <v>54</v>
      </c>
      <c r="I2212" s="1" t="s">
        <v>12</v>
      </c>
      <c r="J2212" s="1" t="s">
        <v>151</v>
      </c>
      <c r="K2212" s="1" t="s">
        <v>14</v>
      </c>
      <c r="L2212" s="1" t="s">
        <v>12</v>
      </c>
      <c r="M2212" s="1" t="s">
        <v>12</v>
      </c>
      <c r="N2212" s="1">
        <v>27.12</v>
      </c>
      <c r="O2212" s="1" t="s">
        <v>30</v>
      </c>
      <c r="P2212" s="1" t="s">
        <v>37</v>
      </c>
      <c r="Q2212" s="1" t="s">
        <v>16</v>
      </c>
      <c r="R2212" s="1" t="str">
        <f>IF(N2212="","",VLOOKUP(N2212,Prior_levels,2,TRUE))</f>
        <v>M</v>
      </c>
    </row>
    <row r="2213" spans="1:18" x14ac:dyDescent="0.2">
      <c r="A2213" s="1" t="s">
        <v>242</v>
      </c>
      <c r="B2213" s="1" t="s">
        <v>12</v>
      </c>
      <c r="C2213" s="2">
        <v>41155</v>
      </c>
      <c r="D2213" s="1">
        <v>10</v>
      </c>
      <c r="E2213" s="1" t="s">
        <v>42</v>
      </c>
      <c r="H2213" s="1" t="s">
        <v>54</v>
      </c>
      <c r="I2213" s="1" t="s">
        <v>12</v>
      </c>
      <c r="J2213" s="1" t="s">
        <v>151</v>
      </c>
      <c r="K2213" s="1" t="s">
        <v>14</v>
      </c>
      <c r="L2213" s="1" t="s">
        <v>12</v>
      </c>
      <c r="M2213" s="1" t="s">
        <v>12</v>
      </c>
      <c r="N2213" s="1">
        <v>27.12</v>
      </c>
      <c r="O2213" s="1" t="s">
        <v>31</v>
      </c>
      <c r="P2213" s="1" t="s">
        <v>37</v>
      </c>
      <c r="Q2213" s="1" t="s">
        <v>16</v>
      </c>
      <c r="R2213" s="1" t="str">
        <f>IF(N2213="","",VLOOKUP(N2213,Prior_levels,2,TRUE))</f>
        <v>M</v>
      </c>
    </row>
    <row r="2214" spans="1:18" x14ac:dyDescent="0.2">
      <c r="A2214" s="1" t="s">
        <v>242</v>
      </c>
      <c r="B2214" s="1" t="s">
        <v>12</v>
      </c>
      <c r="C2214" s="2">
        <v>41155</v>
      </c>
      <c r="D2214" s="1">
        <v>10</v>
      </c>
      <c r="E2214" s="1" t="s">
        <v>42</v>
      </c>
      <c r="H2214" s="1" t="s">
        <v>54</v>
      </c>
      <c r="I2214" s="1" t="s">
        <v>12</v>
      </c>
      <c r="J2214" s="1" t="s">
        <v>151</v>
      </c>
      <c r="K2214" s="1" t="s">
        <v>14</v>
      </c>
      <c r="L2214" s="1" t="s">
        <v>12</v>
      </c>
      <c r="M2214" s="1" t="s">
        <v>12</v>
      </c>
      <c r="N2214" s="1">
        <v>27.12</v>
      </c>
      <c r="O2214" s="1" t="s">
        <v>32</v>
      </c>
      <c r="P2214" s="1" t="s">
        <v>37</v>
      </c>
      <c r="Q2214" s="1" t="s">
        <v>16</v>
      </c>
      <c r="R2214" s="1" t="str">
        <f>IF(N2214="","",VLOOKUP(N2214,Prior_levels,2,TRUE))</f>
        <v>M</v>
      </c>
    </row>
    <row r="2215" spans="1:18" x14ac:dyDescent="0.2">
      <c r="A2215" s="1" t="s">
        <v>243</v>
      </c>
      <c r="B2215" s="1" t="s">
        <v>12</v>
      </c>
      <c r="C2215" s="2">
        <v>41155</v>
      </c>
      <c r="D2215" s="1">
        <v>10</v>
      </c>
      <c r="E2215" s="1" t="s">
        <v>47</v>
      </c>
      <c r="F2215" s="1" t="s">
        <v>28</v>
      </c>
      <c r="H2215" s="1" t="s">
        <v>48</v>
      </c>
      <c r="I2215" s="1" t="s">
        <v>12</v>
      </c>
      <c r="J2215" s="1" t="s">
        <v>192</v>
      </c>
      <c r="K2215" s="1" t="s">
        <v>182</v>
      </c>
      <c r="L2215" s="1" t="s">
        <v>12</v>
      </c>
      <c r="M2215" s="1" t="s">
        <v>12</v>
      </c>
      <c r="N2215" s="1">
        <v>27.12</v>
      </c>
      <c r="O2215" s="1" t="s">
        <v>15</v>
      </c>
      <c r="P2215" s="1">
        <v>4.5</v>
      </c>
      <c r="Q2215" s="1" t="s">
        <v>16</v>
      </c>
      <c r="R2215" s="1" t="str">
        <f>IF(N2215="","",VLOOKUP(N2215,Prior_levels,2,TRUE))</f>
        <v>M</v>
      </c>
    </row>
    <row r="2216" spans="1:18" x14ac:dyDescent="0.2">
      <c r="A2216" s="1" t="s">
        <v>243</v>
      </c>
      <c r="B2216" s="1" t="s">
        <v>12</v>
      </c>
      <c r="C2216" s="2">
        <v>41155</v>
      </c>
      <c r="D2216" s="1">
        <v>10</v>
      </c>
      <c r="E2216" s="1" t="s">
        <v>47</v>
      </c>
      <c r="F2216" s="1" t="s">
        <v>28</v>
      </c>
      <c r="H2216" s="1" t="s">
        <v>48</v>
      </c>
      <c r="I2216" s="1" t="s">
        <v>12</v>
      </c>
      <c r="J2216" s="1" t="s">
        <v>192</v>
      </c>
      <c r="K2216" s="1" t="s">
        <v>182</v>
      </c>
      <c r="L2216" s="1" t="s">
        <v>12</v>
      </c>
      <c r="M2216" s="1" t="s">
        <v>12</v>
      </c>
      <c r="N2216" s="1">
        <v>27.12</v>
      </c>
      <c r="O2216" s="1" t="s">
        <v>17</v>
      </c>
      <c r="P2216" s="1">
        <v>-0.05</v>
      </c>
      <c r="Q2216" s="1" t="s">
        <v>16</v>
      </c>
      <c r="R2216" s="1" t="str">
        <f>IF(N2216="","",VLOOKUP(N2216,Prior_levels,2,TRUE))</f>
        <v>M</v>
      </c>
    </row>
    <row r="2217" spans="1:18" x14ac:dyDescent="0.2">
      <c r="A2217" s="1" t="s">
        <v>243</v>
      </c>
      <c r="B2217" s="1" t="s">
        <v>12</v>
      </c>
      <c r="C2217" s="2">
        <v>41155</v>
      </c>
      <c r="D2217" s="1">
        <v>10</v>
      </c>
      <c r="E2217" s="1" t="s">
        <v>47</v>
      </c>
      <c r="F2217" s="1" t="s">
        <v>28</v>
      </c>
      <c r="H2217" s="1" t="s">
        <v>48</v>
      </c>
      <c r="I2217" s="1" t="s">
        <v>12</v>
      </c>
      <c r="J2217" s="1" t="s">
        <v>192</v>
      </c>
      <c r="K2217" s="1" t="s">
        <v>182</v>
      </c>
      <c r="L2217" s="1" t="s">
        <v>12</v>
      </c>
      <c r="M2217" s="1" t="s">
        <v>12</v>
      </c>
      <c r="N2217" s="1">
        <v>27.12</v>
      </c>
      <c r="O2217" s="1" t="s">
        <v>18</v>
      </c>
      <c r="P2217" s="1">
        <v>10</v>
      </c>
      <c r="Q2217" s="1" t="s">
        <v>16</v>
      </c>
      <c r="R2217" s="1" t="str">
        <f>IF(N2217="","",VLOOKUP(N2217,Prior_levels,2,TRUE))</f>
        <v>M</v>
      </c>
    </row>
    <row r="2218" spans="1:18" x14ac:dyDescent="0.2">
      <c r="A2218" s="1" t="s">
        <v>243</v>
      </c>
      <c r="B2218" s="1" t="s">
        <v>12</v>
      </c>
      <c r="C2218" s="2">
        <v>41155</v>
      </c>
      <c r="D2218" s="1">
        <v>10</v>
      </c>
      <c r="E2218" s="1" t="s">
        <v>47</v>
      </c>
      <c r="F2218" s="1" t="s">
        <v>28</v>
      </c>
      <c r="H2218" s="1" t="s">
        <v>48</v>
      </c>
      <c r="I2218" s="1" t="s">
        <v>12</v>
      </c>
      <c r="J2218" s="1" t="s">
        <v>192</v>
      </c>
      <c r="K2218" s="1" t="s">
        <v>182</v>
      </c>
      <c r="L2218" s="1" t="s">
        <v>12</v>
      </c>
      <c r="M2218" s="1" t="s">
        <v>12</v>
      </c>
      <c r="N2218" s="1">
        <v>27.12</v>
      </c>
      <c r="O2218" s="1" t="s">
        <v>19</v>
      </c>
      <c r="P2218" s="1">
        <v>10</v>
      </c>
      <c r="Q2218" s="1" t="s">
        <v>16</v>
      </c>
      <c r="R2218" s="1" t="str">
        <f>IF(N2218="","",VLOOKUP(N2218,Prior_levels,2,TRUE))</f>
        <v>M</v>
      </c>
    </row>
    <row r="2219" spans="1:18" x14ac:dyDescent="0.2">
      <c r="A2219" s="1" t="s">
        <v>243</v>
      </c>
      <c r="B2219" s="1" t="s">
        <v>12</v>
      </c>
      <c r="C2219" s="2">
        <v>41155</v>
      </c>
      <c r="D2219" s="1">
        <v>10</v>
      </c>
      <c r="E2219" s="1" t="s">
        <v>47</v>
      </c>
      <c r="F2219" s="1" t="s">
        <v>28</v>
      </c>
      <c r="H2219" s="1" t="s">
        <v>48</v>
      </c>
      <c r="I2219" s="1" t="s">
        <v>12</v>
      </c>
      <c r="J2219" s="1" t="s">
        <v>192</v>
      </c>
      <c r="K2219" s="1" t="s">
        <v>182</v>
      </c>
      <c r="L2219" s="1" t="s">
        <v>12</v>
      </c>
      <c r="M2219" s="1" t="s">
        <v>12</v>
      </c>
      <c r="N2219" s="1">
        <v>27.12</v>
      </c>
      <c r="O2219" s="1" t="s">
        <v>20</v>
      </c>
      <c r="P2219" s="1">
        <v>12</v>
      </c>
      <c r="Q2219" s="1" t="s">
        <v>16</v>
      </c>
      <c r="R2219" s="1" t="str">
        <f>IF(N2219="","",VLOOKUP(N2219,Prior_levels,2,TRUE))</f>
        <v>M</v>
      </c>
    </row>
    <row r="2220" spans="1:18" x14ac:dyDescent="0.2">
      <c r="A2220" s="1" t="s">
        <v>243</v>
      </c>
      <c r="B2220" s="1" t="s">
        <v>12</v>
      </c>
      <c r="C2220" s="2">
        <v>41155</v>
      </c>
      <c r="D2220" s="1">
        <v>10</v>
      </c>
      <c r="E2220" s="1" t="s">
        <v>47</v>
      </c>
      <c r="F2220" s="1" t="s">
        <v>28</v>
      </c>
      <c r="H2220" s="1" t="s">
        <v>48</v>
      </c>
      <c r="I2220" s="1" t="s">
        <v>12</v>
      </c>
      <c r="J2220" s="1" t="s">
        <v>192</v>
      </c>
      <c r="K2220" s="1" t="s">
        <v>182</v>
      </c>
      <c r="L2220" s="1" t="s">
        <v>12</v>
      </c>
      <c r="M2220" s="1" t="s">
        <v>12</v>
      </c>
      <c r="N2220" s="1">
        <v>27.12</v>
      </c>
      <c r="O2220" s="1" t="s">
        <v>21</v>
      </c>
      <c r="P2220" s="1">
        <v>13</v>
      </c>
      <c r="Q2220" s="1" t="s">
        <v>16</v>
      </c>
      <c r="R2220" s="1" t="str">
        <f>IF(N2220="","",VLOOKUP(N2220,Prior_levels,2,TRUE))</f>
        <v>M</v>
      </c>
    </row>
    <row r="2221" spans="1:18" x14ac:dyDescent="0.2">
      <c r="A2221" s="1" t="s">
        <v>243</v>
      </c>
      <c r="B2221" s="1" t="s">
        <v>12</v>
      </c>
      <c r="C2221" s="2">
        <v>41155</v>
      </c>
      <c r="D2221" s="1">
        <v>10</v>
      </c>
      <c r="E2221" s="1" t="s">
        <v>47</v>
      </c>
      <c r="F2221" s="1" t="s">
        <v>28</v>
      </c>
      <c r="H2221" s="1" t="s">
        <v>48</v>
      </c>
      <c r="I2221" s="1" t="s">
        <v>12</v>
      </c>
      <c r="J2221" s="1" t="s">
        <v>192</v>
      </c>
      <c r="K2221" s="1" t="s">
        <v>182</v>
      </c>
      <c r="L2221" s="1" t="s">
        <v>12</v>
      </c>
      <c r="M2221" s="1" t="s">
        <v>12</v>
      </c>
      <c r="N2221" s="1">
        <v>27.12</v>
      </c>
      <c r="O2221" s="1" t="s">
        <v>22</v>
      </c>
      <c r="P2221" s="1">
        <v>-0.05</v>
      </c>
      <c r="Q2221" s="1" t="s">
        <v>16</v>
      </c>
      <c r="R2221" s="1" t="str">
        <f>IF(N2221="","",VLOOKUP(N2221,Prior_levels,2,TRUE))</f>
        <v>M</v>
      </c>
    </row>
    <row r="2222" spans="1:18" x14ac:dyDescent="0.2">
      <c r="A2222" s="1" t="s">
        <v>243</v>
      </c>
      <c r="B2222" s="1" t="s">
        <v>12</v>
      </c>
      <c r="C2222" s="2">
        <v>41155</v>
      </c>
      <c r="D2222" s="1">
        <v>10</v>
      </c>
      <c r="E2222" s="1" t="s">
        <v>47</v>
      </c>
      <c r="F2222" s="1" t="s">
        <v>28</v>
      </c>
      <c r="H2222" s="1" t="s">
        <v>48</v>
      </c>
      <c r="I2222" s="1" t="s">
        <v>12</v>
      </c>
      <c r="J2222" s="1" t="s">
        <v>192</v>
      </c>
      <c r="K2222" s="1" t="s">
        <v>182</v>
      </c>
      <c r="L2222" s="1" t="s">
        <v>12</v>
      </c>
      <c r="M2222" s="1" t="s">
        <v>12</v>
      </c>
      <c r="N2222" s="1">
        <v>27.12</v>
      </c>
      <c r="O2222" s="1" t="s">
        <v>23</v>
      </c>
      <c r="P2222" s="1">
        <v>0.36</v>
      </c>
      <c r="Q2222" s="1" t="s">
        <v>16</v>
      </c>
      <c r="R2222" s="1" t="str">
        <f>IF(N2222="","",VLOOKUP(N2222,Prior_levels,2,TRUE))</f>
        <v>M</v>
      </c>
    </row>
    <row r="2223" spans="1:18" x14ac:dyDescent="0.2">
      <c r="A2223" s="1" t="s">
        <v>243</v>
      </c>
      <c r="B2223" s="1" t="s">
        <v>12</v>
      </c>
      <c r="C2223" s="2">
        <v>41155</v>
      </c>
      <c r="D2223" s="1">
        <v>10</v>
      </c>
      <c r="E2223" s="1" t="s">
        <v>47</v>
      </c>
      <c r="F2223" s="1" t="s">
        <v>28</v>
      </c>
      <c r="H2223" s="1" t="s">
        <v>48</v>
      </c>
      <c r="I2223" s="1" t="s">
        <v>12</v>
      </c>
      <c r="J2223" s="1" t="s">
        <v>192</v>
      </c>
      <c r="K2223" s="1" t="s">
        <v>182</v>
      </c>
      <c r="L2223" s="1" t="s">
        <v>12</v>
      </c>
      <c r="M2223" s="1" t="s">
        <v>12</v>
      </c>
      <c r="N2223" s="1">
        <v>27.12</v>
      </c>
      <c r="O2223" s="1" t="s">
        <v>24</v>
      </c>
      <c r="P2223" s="1">
        <v>0.75</v>
      </c>
      <c r="Q2223" s="1" t="s">
        <v>16</v>
      </c>
      <c r="R2223" s="1" t="str">
        <f>IF(N2223="","",VLOOKUP(N2223,Prior_levels,2,TRUE))</f>
        <v>M</v>
      </c>
    </row>
    <row r="2224" spans="1:18" x14ac:dyDescent="0.2">
      <c r="A2224" s="1" t="s">
        <v>243</v>
      </c>
      <c r="B2224" s="1" t="s">
        <v>12</v>
      </c>
      <c r="C2224" s="2">
        <v>41155</v>
      </c>
      <c r="D2224" s="1">
        <v>10</v>
      </c>
      <c r="E2224" s="1" t="s">
        <v>47</v>
      </c>
      <c r="F2224" s="1" t="s">
        <v>28</v>
      </c>
      <c r="H2224" s="1" t="s">
        <v>48</v>
      </c>
      <c r="I2224" s="1" t="s">
        <v>12</v>
      </c>
      <c r="J2224" s="1" t="s">
        <v>192</v>
      </c>
      <c r="K2224" s="1" t="s">
        <v>182</v>
      </c>
      <c r="L2224" s="1" t="s">
        <v>12</v>
      </c>
      <c r="M2224" s="1" t="s">
        <v>12</v>
      </c>
      <c r="N2224" s="1">
        <v>27.12</v>
      </c>
      <c r="O2224" s="1" t="s">
        <v>25</v>
      </c>
      <c r="P2224" s="1">
        <v>-1.89</v>
      </c>
      <c r="Q2224" s="1" t="s">
        <v>16</v>
      </c>
      <c r="R2224" s="1" t="str">
        <f>IF(N2224="","",VLOOKUP(N2224,Prior_levels,2,TRUE))</f>
        <v>M</v>
      </c>
    </row>
    <row r="2225" spans="1:18" x14ac:dyDescent="0.2">
      <c r="A2225" s="1" t="s">
        <v>243</v>
      </c>
      <c r="B2225" s="1" t="s">
        <v>12</v>
      </c>
      <c r="C2225" s="2">
        <v>41155</v>
      </c>
      <c r="D2225" s="1">
        <v>10</v>
      </c>
      <c r="E2225" s="1" t="s">
        <v>47</v>
      </c>
      <c r="F2225" s="1" t="s">
        <v>28</v>
      </c>
      <c r="H2225" s="1" t="s">
        <v>48</v>
      </c>
      <c r="I2225" s="1" t="s">
        <v>12</v>
      </c>
      <c r="J2225" s="1" t="s">
        <v>192</v>
      </c>
      <c r="K2225" s="1" t="s">
        <v>182</v>
      </c>
      <c r="L2225" s="1" t="s">
        <v>12</v>
      </c>
      <c r="M2225" s="1" t="s">
        <v>12</v>
      </c>
      <c r="N2225" s="1">
        <v>27.12</v>
      </c>
      <c r="O2225" s="1" t="s">
        <v>26</v>
      </c>
      <c r="P2225" s="1">
        <v>9</v>
      </c>
      <c r="Q2225" s="1" t="s">
        <v>16</v>
      </c>
      <c r="R2225" s="1" t="str">
        <f>IF(N2225="","",VLOOKUP(N2225,Prior_levels,2,TRUE))</f>
        <v>M</v>
      </c>
    </row>
    <row r="2226" spans="1:18" x14ac:dyDescent="0.2">
      <c r="A2226" s="1" t="s">
        <v>243</v>
      </c>
      <c r="B2226" s="1" t="s">
        <v>12</v>
      </c>
      <c r="C2226" s="2">
        <v>41155</v>
      </c>
      <c r="D2226" s="1">
        <v>10</v>
      </c>
      <c r="E2226" s="1" t="s">
        <v>47</v>
      </c>
      <c r="F2226" s="1" t="s">
        <v>28</v>
      </c>
      <c r="H2226" s="1" t="s">
        <v>48</v>
      </c>
      <c r="I2226" s="1" t="s">
        <v>12</v>
      </c>
      <c r="J2226" s="1" t="s">
        <v>192</v>
      </c>
      <c r="K2226" s="1" t="s">
        <v>182</v>
      </c>
      <c r="L2226" s="1" t="s">
        <v>12</v>
      </c>
      <c r="M2226" s="1" t="s">
        <v>12</v>
      </c>
      <c r="N2226" s="1">
        <v>27.12</v>
      </c>
      <c r="O2226" s="1" t="s">
        <v>32</v>
      </c>
      <c r="P2226" s="1" t="s">
        <v>37</v>
      </c>
      <c r="Q2226" s="1" t="s">
        <v>16</v>
      </c>
      <c r="R2226" s="1" t="str">
        <f>IF(N2226="","",VLOOKUP(N2226,Prior_levels,2,TRUE))</f>
        <v>M</v>
      </c>
    </row>
    <row r="2227" spans="1:18" x14ac:dyDescent="0.2">
      <c r="A2227" s="1" t="s">
        <v>243</v>
      </c>
      <c r="B2227" s="1" t="s">
        <v>12</v>
      </c>
      <c r="C2227" s="2">
        <v>41155</v>
      </c>
      <c r="D2227" s="1">
        <v>10</v>
      </c>
      <c r="E2227" s="1" t="s">
        <v>47</v>
      </c>
      <c r="F2227" s="1" t="s">
        <v>28</v>
      </c>
      <c r="H2227" s="1" t="s">
        <v>48</v>
      </c>
      <c r="I2227" s="1" t="s">
        <v>12</v>
      </c>
      <c r="J2227" s="1" t="s">
        <v>192</v>
      </c>
      <c r="K2227" s="1" t="s">
        <v>182</v>
      </c>
      <c r="L2227" s="1" t="s">
        <v>12</v>
      </c>
      <c r="M2227" s="1" t="s">
        <v>12</v>
      </c>
      <c r="N2227" s="1">
        <v>27.12</v>
      </c>
      <c r="O2227" s="1" t="s">
        <v>27</v>
      </c>
      <c r="P2227" s="1" t="s">
        <v>37</v>
      </c>
      <c r="Q2227" s="1" t="s">
        <v>16</v>
      </c>
      <c r="R2227" s="1" t="str">
        <f>IF(N2227="","",VLOOKUP(N2227,Prior_levels,2,TRUE))</f>
        <v>M</v>
      </c>
    </row>
    <row r="2228" spans="1:18" x14ac:dyDescent="0.2">
      <c r="A2228" s="1" t="s">
        <v>243</v>
      </c>
      <c r="B2228" s="1" t="s">
        <v>12</v>
      </c>
      <c r="C2228" s="2">
        <v>41155</v>
      </c>
      <c r="D2228" s="1">
        <v>10</v>
      </c>
      <c r="E2228" s="1" t="s">
        <v>47</v>
      </c>
      <c r="F2228" s="1" t="s">
        <v>28</v>
      </c>
      <c r="H2228" s="1" t="s">
        <v>48</v>
      </c>
      <c r="I2228" s="1" t="s">
        <v>12</v>
      </c>
      <c r="J2228" s="1" t="s">
        <v>192</v>
      </c>
      <c r="K2228" s="1" t="s">
        <v>182</v>
      </c>
      <c r="L2228" s="1" t="s">
        <v>12</v>
      </c>
      <c r="M2228" s="1" t="s">
        <v>12</v>
      </c>
      <c r="N2228" s="1">
        <v>27.12</v>
      </c>
      <c r="O2228" s="1" t="s">
        <v>29</v>
      </c>
      <c r="P2228" s="1" t="s">
        <v>37</v>
      </c>
      <c r="Q2228" s="1" t="s">
        <v>16</v>
      </c>
      <c r="R2228" s="1" t="str">
        <f>IF(N2228="","",VLOOKUP(N2228,Prior_levels,2,TRUE))</f>
        <v>M</v>
      </c>
    </row>
    <row r="2229" spans="1:18" x14ac:dyDescent="0.2">
      <c r="A2229" s="1" t="s">
        <v>243</v>
      </c>
      <c r="B2229" s="1" t="s">
        <v>12</v>
      </c>
      <c r="C2229" s="2">
        <v>41155</v>
      </c>
      <c r="D2229" s="1">
        <v>10</v>
      </c>
      <c r="E2229" s="1" t="s">
        <v>47</v>
      </c>
      <c r="F2229" s="1" t="s">
        <v>28</v>
      </c>
      <c r="H2229" s="1" t="s">
        <v>48</v>
      </c>
      <c r="I2229" s="1" t="s">
        <v>12</v>
      </c>
      <c r="J2229" s="1" t="s">
        <v>192</v>
      </c>
      <c r="K2229" s="1" t="s">
        <v>182</v>
      </c>
      <c r="L2229" s="1" t="s">
        <v>12</v>
      </c>
      <c r="M2229" s="1" t="s">
        <v>12</v>
      </c>
      <c r="N2229" s="1">
        <v>27.12</v>
      </c>
      <c r="O2229" s="1" t="s">
        <v>30</v>
      </c>
      <c r="P2229" s="1" t="s">
        <v>37</v>
      </c>
      <c r="Q2229" s="1" t="s">
        <v>16</v>
      </c>
      <c r="R2229" s="1" t="str">
        <f>IF(N2229="","",VLOOKUP(N2229,Prior_levels,2,TRUE))</f>
        <v>M</v>
      </c>
    </row>
    <row r="2230" spans="1:18" x14ac:dyDescent="0.2">
      <c r="A2230" s="1" t="s">
        <v>243</v>
      </c>
      <c r="B2230" s="1" t="s">
        <v>12</v>
      </c>
      <c r="C2230" s="2">
        <v>41155</v>
      </c>
      <c r="D2230" s="1">
        <v>10</v>
      </c>
      <c r="E2230" s="1" t="s">
        <v>47</v>
      </c>
      <c r="F2230" s="1" t="s">
        <v>28</v>
      </c>
      <c r="H2230" s="1" t="s">
        <v>48</v>
      </c>
      <c r="I2230" s="1" t="s">
        <v>12</v>
      </c>
      <c r="J2230" s="1" t="s">
        <v>192</v>
      </c>
      <c r="K2230" s="1" t="s">
        <v>182</v>
      </c>
      <c r="L2230" s="1" t="s">
        <v>12</v>
      </c>
      <c r="M2230" s="1" t="s">
        <v>12</v>
      </c>
      <c r="N2230" s="1">
        <v>27.12</v>
      </c>
      <c r="O2230" s="1" t="s">
        <v>31</v>
      </c>
      <c r="P2230" s="1" t="s">
        <v>37</v>
      </c>
      <c r="Q2230" s="1" t="s">
        <v>16</v>
      </c>
      <c r="R2230" s="1" t="str">
        <f>IF(N2230="","",VLOOKUP(N2230,Prior_levels,2,TRUE))</f>
        <v>M</v>
      </c>
    </row>
    <row r="2231" spans="1:18" x14ac:dyDescent="0.2">
      <c r="A2231" s="1" t="s">
        <v>244</v>
      </c>
      <c r="B2231" s="1" t="s">
        <v>12</v>
      </c>
      <c r="C2231" s="2">
        <v>41155</v>
      </c>
      <c r="D2231" s="1">
        <v>10</v>
      </c>
      <c r="E2231" s="1" t="s">
        <v>47</v>
      </c>
      <c r="F2231" s="1" t="s">
        <v>28</v>
      </c>
      <c r="H2231" s="1" t="s">
        <v>48</v>
      </c>
      <c r="I2231" s="1" t="s">
        <v>12</v>
      </c>
      <c r="J2231" s="1" t="s">
        <v>192</v>
      </c>
      <c r="K2231" s="1" t="s">
        <v>182</v>
      </c>
      <c r="L2231" s="1" t="s">
        <v>12</v>
      </c>
      <c r="M2231" s="1" t="s">
        <v>12</v>
      </c>
      <c r="N2231" s="1">
        <v>21.12</v>
      </c>
      <c r="O2231" s="1" t="s">
        <v>15</v>
      </c>
      <c r="P2231" s="1">
        <v>2.9</v>
      </c>
      <c r="Q2231" s="1" t="s">
        <v>16</v>
      </c>
      <c r="R2231" s="1" t="str">
        <f>IF(N2231="","",VLOOKUP(N2231,Prior_levels,2,TRUE))</f>
        <v>L</v>
      </c>
    </row>
    <row r="2232" spans="1:18" x14ac:dyDescent="0.2">
      <c r="A2232" s="1" t="s">
        <v>244</v>
      </c>
      <c r="B2232" s="1" t="s">
        <v>12</v>
      </c>
      <c r="C2232" s="2">
        <v>41155</v>
      </c>
      <c r="D2232" s="1">
        <v>10</v>
      </c>
      <c r="E2232" s="1" t="s">
        <v>47</v>
      </c>
      <c r="F2232" s="1" t="s">
        <v>28</v>
      </c>
      <c r="H2232" s="1" t="s">
        <v>48</v>
      </c>
      <c r="I2232" s="1" t="s">
        <v>12</v>
      </c>
      <c r="J2232" s="1" t="s">
        <v>192</v>
      </c>
      <c r="K2232" s="1" t="s">
        <v>182</v>
      </c>
      <c r="L2232" s="1" t="s">
        <v>12</v>
      </c>
      <c r="M2232" s="1" t="s">
        <v>12</v>
      </c>
      <c r="N2232" s="1">
        <v>21.12</v>
      </c>
      <c r="O2232" s="1" t="s">
        <v>17</v>
      </c>
      <c r="P2232" s="1">
        <v>7.0000000000000007E-2</v>
      </c>
      <c r="Q2232" s="1" t="s">
        <v>16</v>
      </c>
      <c r="R2232" s="1" t="str">
        <f>IF(N2232="","",VLOOKUP(N2232,Prior_levels,2,TRUE))</f>
        <v>L</v>
      </c>
    </row>
    <row r="2233" spans="1:18" x14ac:dyDescent="0.2">
      <c r="A2233" s="1" t="s">
        <v>244</v>
      </c>
      <c r="B2233" s="1" t="s">
        <v>12</v>
      </c>
      <c r="C2233" s="2">
        <v>41155</v>
      </c>
      <c r="D2233" s="1">
        <v>10</v>
      </c>
      <c r="E2233" s="1" t="s">
        <v>47</v>
      </c>
      <c r="F2233" s="1" t="s">
        <v>28</v>
      </c>
      <c r="H2233" s="1" t="s">
        <v>48</v>
      </c>
      <c r="I2233" s="1" t="s">
        <v>12</v>
      </c>
      <c r="J2233" s="1" t="s">
        <v>192</v>
      </c>
      <c r="K2233" s="1" t="s">
        <v>182</v>
      </c>
      <c r="L2233" s="1" t="s">
        <v>12</v>
      </c>
      <c r="M2233" s="1" t="s">
        <v>12</v>
      </c>
      <c r="N2233" s="1">
        <v>21.12</v>
      </c>
      <c r="O2233" s="1" t="s">
        <v>18</v>
      </c>
      <c r="P2233" s="1">
        <v>8</v>
      </c>
      <c r="Q2233" s="1" t="s">
        <v>16</v>
      </c>
      <c r="R2233" s="1" t="str">
        <f>IF(N2233="","",VLOOKUP(N2233,Prior_levels,2,TRUE))</f>
        <v>L</v>
      </c>
    </row>
    <row r="2234" spans="1:18" x14ac:dyDescent="0.2">
      <c r="A2234" s="1" t="s">
        <v>244</v>
      </c>
      <c r="B2234" s="1" t="s">
        <v>12</v>
      </c>
      <c r="C2234" s="2">
        <v>41155</v>
      </c>
      <c r="D2234" s="1">
        <v>10</v>
      </c>
      <c r="E2234" s="1" t="s">
        <v>47</v>
      </c>
      <c r="F2234" s="1" t="s">
        <v>28</v>
      </c>
      <c r="H2234" s="1" t="s">
        <v>48</v>
      </c>
      <c r="I2234" s="1" t="s">
        <v>12</v>
      </c>
      <c r="J2234" s="1" t="s">
        <v>192</v>
      </c>
      <c r="K2234" s="1" t="s">
        <v>182</v>
      </c>
      <c r="L2234" s="1" t="s">
        <v>12</v>
      </c>
      <c r="M2234" s="1" t="s">
        <v>12</v>
      </c>
      <c r="N2234" s="1">
        <v>21.12</v>
      </c>
      <c r="O2234" s="1" t="s">
        <v>19</v>
      </c>
      <c r="P2234" s="1">
        <v>4</v>
      </c>
      <c r="Q2234" s="1" t="s">
        <v>16</v>
      </c>
      <c r="R2234" s="1" t="str">
        <f>IF(N2234="","",VLOOKUP(N2234,Prior_levels,2,TRUE))</f>
        <v>L</v>
      </c>
    </row>
    <row r="2235" spans="1:18" x14ac:dyDescent="0.2">
      <c r="A2235" s="1" t="s">
        <v>244</v>
      </c>
      <c r="B2235" s="1" t="s">
        <v>12</v>
      </c>
      <c r="C2235" s="2">
        <v>41155</v>
      </c>
      <c r="D2235" s="1">
        <v>10</v>
      </c>
      <c r="E2235" s="1" t="s">
        <v>47</v>
      </c>
      <c r="F2235" s="1" t="s">
        <v>28</v>
      </c>
      <c r="H2235" s="1" t="s">
        <v>48</v>
      </c>
      <c r="I2235" s="1" t="s">
        <v>12</v>
      </c>
      <c r="J2235" s="1" t="s">
        <v>192</v>
      </c>
      <c r="K2235" s="1" t="s">
        <v>182</v>
      </c>
      <c r="L2235" s="1" t="s">
        <v>12</v>
      </c>
      <c r="M2235" s="1" t="s">
        <v>12</v>
      </c>
      <c r="N2235" s="1">
        <v>21.12</v>
      </c>
      <c r="O2235" s="1" t="s">
        <v>20</v>
      </c>
      <c r="P2235" s="1">
        <v>7.5</v>
      </c>
      <c r="Q2235" s="1" t="s">
        <v>16</v>
      </c>
      <c r="R2235" s="1" t="str">
        <f>IF(N2235="","",VLOOKUP(N2235,Prior_levels,2,TRUE))</f>
        <v>L</v>
      </c>
    </row>
    <row r="2236" spans="1:18" x14ac:dyDescent="0.2">
      <c r="A2236" s="1" t="s">
        <v>244</v>
      </c>
      <c r="B2236" s="1" t="s">
        <v>12</v>
      </c>
      <c r="C2236" s="2">
        <v>41155</v>
      </c>
      <c r="D2236" s="1">
        <v>10</v>
      </c>
      <c r="E2236" s="1" t="s">
        <v>47</v>
      </c>
      <c r="F2236" s="1" t="s">
        <v>28</v>
      </c>
      <c r="H2236" s="1" t="s">
        <v>48</v>
      </c>
      <c r="I2236" s="1" t="s">
        <v>12</v>
      </c>
      <c r="J2236" s="1" t="s">
        <v>192</v>
      </c>
      <c r="K2236" s="1" t="s">
        <v>182</v>
      </c>
      <c r="L2236" s="1" t="s">
        <v>12</v>
      </c>
      <c r="M2236" s="1" t="s">
        <v>12</v>
      </c>
      <c r="N2236" s="1">
        <v>21.12</v>
      </c>
      <c r="O2236" s="1" t="s">
        <v>21</v>
      </c>
      <c r="P2236" s="1">
        <v>9.5</v>
      </c>
      <c r="Q2236" s="1" t="s">
        <v>16</v>
      </c>
      <c r="R2236" s="1" t="str">
        <f>IF(N2236="","",VLOOKUP(N2236,Prior_levels,2,TRUE))</f>
        <v>L</v>
      </c>
    </row>
    <row r="2237" spans="1:18" x14ac:dyDescent="0.2">
      <c r="A2237" s="1" t="s">
        <v>244</v>
      </c>
      <c r="B2237" s="1" t="s">
        <v>12</v>
      </c>
      <c r="C2237" s="2">
        <v>41155</v>
      </c>
      <c r="D2237" s="1">
        <v>10</v>
      </c>
      <c r="E2237" s="1" t="s">
        <v>47</v>
      </c>
      <c r="F2237" s="1" t="s">
        <v>28</v>
      </c>
      <c r="H2237" s="1" t="s">
        <v>48</v>
      </c>
      <c r="I2237" s="1" t="s">
        <v>12</v>
      </c>
      <c r="J2237" s="1" t="s">
        <v>192</v>
      </c>
      <c r="K2237" s="1" t="s">
        <v>182</v>
      </c>
      <c r="L2237" s="1" t="s">
        <v>12</v>
      </c>
      <c r="M2237" s="1" t="s">
        <v>12</v>
      </c>
      <c r="N2237" s="1">
        <v>21.12</v>
      </c>
      <c r="O2237" s="1" t="s">
        <v>22</v>
      </c>
      <c r="P2237" s="1">
        <v>0.34</v>
      </c>
      <c r="Q2237" s="1" t="s">
        <v>16</v>
      </c>
      <c r="R2237" s="1" t="str">
        <f>IF(N2237="","",VLOOKUP(N2237,Prior_levels,2,TRUE))</f>
        <v>L</v>
      </c>
    </row>
    <row r="2238" spans="1:18" x14ac:dyDescent="0.2">
      <c r="A2238" s="1" t="s">
        <v>244</v>
      </c>
      <c r="B2238" s="1" t="s">
        <v>12</v>
      </c>
      <c r="C2238" s="2">
        <v>41155</v>
      </c>
      <c r="D2238" s="1">
        <v>10</v>
      </c>
      <c r="E2238" s="1" t="s">
        <v>47</v>
      </c>
      <c r="F2238" s="1" t="s">
        <v>28</v>
      </c>
      <c r="H2238" s="1" t="s">
        <v>48</v>
      </c>
      <c r="I2238" s="1" t="s">
        <v>12</v>
      </c>
      <c r="J2238" s="1" t="s">
        <v>192</v>
      </c>
      <c r="K2238" s="1" t="s">
        <v>182</v>
      </c>
      <c r="L2238" s="1" t="s">
        <v>12</v>
      </c>
      <c r="M2238" s="1" t="s">
        <v>12</v>
      </c>
      <c r="N2238" s="1">
        <v>21.12</v>
      </c>
      <c r="O2238" s="1" t="s">
        <v>23</v>
      </c>
      <c r="P2238" s="1">
        <v>-0.61</v>
      </c>
      <c r="Q2238" s="1" t="s">
        <v>16</v>
      </c>
      <c r="R2238" s="1" t="str">
        <f>IF(N2238="","",VLOOKUP(N2238,Prior_levels,2,TRUE))</f>
        <v>L</v>
      </c>
    </row>
    <row r="2239" spans="1:18" x14ac:dyDescent="0.2">
      <c r="A2239" s="1" t="s">
        <v>244</v>
      </c>
      <c r="B2239" s="1" t="s">
        <v>12</v>
      </c>
      <c r="C2239" s="2">
        <v>41155</v>
      </c>
      <c r="D2239" s="1">
        <v>10</v>
      </c>
      <c r="E2239" s="1" t="s">
        <v>47</v>
      </c>
      <c r="F2239" s="1" t="s">
        <v>28</v>
      </c>
      <c r="H2239" s="1" t="s">
        <v>48</v>
      </c>
      <c r="I2239" s="1" t="s">
        <v>12</v>
      </c>
      <c r="J2239" s="1" t="s">
        <v>192</v>
      </c>
      <c r="K2239" s="1" t="s">
        <v>182</v>
      </c>
      <c r="L2239" s="1" t="s">
        <v>12</v>
      </c>
      <c r="M2239" s="1" t="s">
        <v>12</v>
      </c>
      <c r="N2239" s="1">
        <v>21.12</v>
      </c>
      <c r="O2239" s="1" t="s">
        <v>25</v>
      </c>
      <c r="P2239" s="1">
        <v>-1.7</v>
      </c>
      <c r="Q2239" s="1" t="s">
        <v>16</v>
      </c>
      <c r="R2239" s="1" t="str">
        <f>IF(N2239="","",VLOOKUP(N2239,Prior_levels,2,TRUE))</f>
        <v>L</v>
      </c>
    </row>
    <row r="2240" spans="1:18" x14ac:dyDescent="0.2">
      <c r="A2240" s="1" t="s">
        <v>244</v>
      </c>
      <c r="B2240" s="1" t="s">
        <v>12</v>
      </c>
      <c r="C2240" s="2">
        <v>41155</v>
      </c>
      <c r="D2240" s="1">
        <v>10</v>
      </c>
      <c r="E2240" s="1" t="s">
        <v>47</v>
      </c>
      <c r="F2240" s="1" t="s">
        <v>28</v>
      </c>
      <c r="H2240" s="1" t="s">
        <v>48</v>
      </c>
      <c r="I2240" s="1" t="s">
        <v>12</v>
      </c>
      <c r="J2240" s="1" t="s">
        <v>192</v>
      </c>
      <c r="K2240" s="1" t="s">
        <v>182</v>
      </c>
      <c r="L2240" s="1" t="s">
        <v>12</v>
      </c>
      <c r="M2240" s="1" t="s">
        <v>12</v>
      </c>
      <c r="N2240" s="1">
        <v>21.12</v>
      </c>
      <c r="O2240" s="1" t="s">
        <v>26</v>
      </c>
      <c r="P2240" s="1">
        <v>1</v>
      </c>
      <c r="Q2240" s="1" t="s">
        <v>16</v>
      </c>
      <c r="R2240" s="1" t="str">
        <f>IF(N2240="","",VLOOKUP(N2240,Prior_levels,2,TRUE))</f>
        <v>L</v>
      </c>
    </row>
    <row r="2241" spans="1:18" x14ac:dyDescent="0.2">
      <c r="A2241" s="1" t="s">
        <v>244</v>
      </c>
      <c r="B2241" s="1" t="s">
        <v>12</v>
      </c>
      <c r="C2241" s="2">
        <v>41155</v>
      </c>
      <c r="D2241" s="1">
        <v>10</v>
      </c>
      <c r="E2241" s="1" t="s">
        <v>47</v>
      </c>
      <c r="F2241" s="1" t="s">
        <v>28</v>
      </c>
      <c r="H2241" s="1" t="s">
        <v>48</v>
      </c>
      <c r="I2241" s="1" t="s">
        <v>12</v>
      </c>
      <c r="J2241" s="1" t="s">
        <v>192</v>
      </c>
      <c r="K2241" s="1" t="s">
        <v>182</v>
      </c>
      <c r="L2241" s="1" t="s">
        <v>12</v>
      </c>
      <c r="M2241" s="1" t="s">
        <v>12</v>
      </c>
      <c r="N2241" s="1">
        <v>21.12</v>
      </c>
      <c r="O2241" s="1" t="s">
        <v>24</v>
      </c>
      <c r="P2241" s="1">
        <v>2.99</v>
      </c>
      <c r="Q2241" s="1" t="s">
        <v>16</v>
      </c>
      <c r="R2241" s="1" t="str">
        <f>IF(N2241="","",VLOOKUP(N2241,Prior_levels,2,TRUE))</f>
        <v>L</v>
      </c>
    </row>
    <row r="2242" spans="1:18" x14ac:dyDescent="0.2">
      <c r="A2242" s="1" t="s">
        <v>244</v>
      </c>
      <c r="B2242" s="1" t="s">
        <v>12</v>
      </c>
      <c r="C2242" s="2">
        <v>41155</v>
      </c>
      <c r="D2242" s="1">
        <v>10</v>
      </c>
      <c r="E2242" s="1" t="s">
        <v>47</v>
      </c>
      <c r="F2242" s="1" t="s">
        <v>28</v>
      </c>
      <c r="H2242" s="1" t="s">
        <v>48</v>
      </c>
      <c r="I2242" s="1" t="s">
        <v>12</v>
      </c>
      <c r="J2242" s="1" t="s">
        <v>192</v>
      </c>
      <c r="K2242" s="1" t="s">
        <v>182</v>
      </c>
      <c r="L2242" s="1" t="s">
        <v>12</v>
      </c>
      <c r="M2242" s="1" t="s">
        <v>12</v>
      </c>
      <c r="N2242" s="1">
        <v>21.12</v>
      </c>
      <c r="O2242" s="1" t="s">
        <v>32</v>
      </c>
      <c r="P2242" s="1" t="s">
        <v>28</v>
      </c>
      <c r="Q2242" s="1" t="s">
        <v>16</v>
      </c>
      <c r="R2242" s="1" t="str">
        <f>IF(N2242="","",VLOOKUP(N2242,Prior_levels,2,TRUE))</f>
        <v>L</v>
      </c>
    </row>
    <row r="2243" spans="1:18" x14ac:dyDescent="0.2">
      <c r="A2243" s="1" t="s">
        <v>244</v>
      </c>
      <c r="B2243" s="1" t="s">
        <v>12</v>
      </c>
      <c r="C2243" s="2">
        <v>41155</v>
      </c>
      <c r="D2243" s="1">
        <v>10</v>
      </c>
      <c r="E2243" s="1" t="s">
        <v>47</v>
      </c>
      <c r="F2243" s="1" t="s">
        <v>28</v>
      </c>
      <c r="H2243" s="1" t="s">
        <v>48</v>
      </c>
      <c r="I2243" s="1" t="s">
        <v>12</v>
      </c>
      <c r="J2243" s="1" t="s">
        <v>192</v>
      </c>
      <c r="K2243" s="1" t="s">
        <v>182</v>
      </c>
      <c r="L2243" s="1" t="s">
        <v>12</v>
      </c>
      <c r="M2243" s="1" t="s">
        <v>12</v>
      </c>
      <c r="N2243" s="1">
        <v>21.12</v>
      </c>
      <c r="O2243" s="1" t="s">
        <v>27</v>
      </c>
      <c r="P2243" s="1" t="s">
        <v>28</v>
      </c>
      <c r="Q2243" s="1" t="s">
        <v>16</v>
      </c>
      <c r="R2243" s="1" t="str">
        <f>IF(N2243="","",VLOOKUP(N2243,Prior_levels,2,TRUE))</f>
        <v>L</v>
      </c>
    </row>
    <row r="2244" spans="1:18" x14ac:dyDescent="0.2">
      <c r="A2244" s="1" t="s">
        <v>244</v>
      </c>
      <c r="B2244" s="1" t="s">
        <v>12</v>
      </c>
      <c r="C2244" s="2">
        <v>41155</v>
      </c>
      <c r="D2244" s="1">
        <v>10</v>
      </c>
      <c r="E2244" s="1" t="s">
        <v>47</v>
      </c>
      <c r="F2244" s="1" t="s">
        <v>28</v>
      </c>
      <c r="H2244" s="1" t="s">
        <v>48</v>
      </c>
      <c r="I2244" s="1" t="s">
        <v>12</v>
      </c>
      <c r="J2244" s="1" t="s">
        <v>192</v>
      </c>
      <c r="K2244" s="1" t="s">
        <v>182</v>
      </c>
      <c r="L2244" s="1" t="s">
        <v>12</v>
      </c>
      <c r="M2244" s="1" t="s">
        <v>12</v>
      </c>
      <c r="N2244" s="1">
        <v>21.12</v>
      </c>
      <c r="O2244" s="1" t="s">
        <v>29</v>
      </c>
      <c r="P2244" s="1" t="s">
        <v>28</v>
      </c>
      <c r="Q2244" s="1" t="s">
        <v>16</v>
      </c>
      <c r="R2244" s="1" t="str">
        <f>IF(N2244="","",VLOOKUP(N2244,Prior_levels,2,TRUE))</f>
        <v>L</v>
      </c>
    </row>
    <row r="2245" spans="1:18" x14ac:dyDescent="0.2">
      <c r="A2245" s="1" t="s">
        <v>244</v>
      </c>
      <c r="B2245" s="1" t="s">
        <v>12</v>
      </c>
      <c r="C2245" s="2">
        <v>41155</v>
      </c>
      <c r="D2245" s="1">
        <v>10</v>
      </c>
      <c r="E2245" s="1" t="s">
        <v>47</v>
      </c>
      <c r="F2245" s="1" t="s">
        <v>28</v>
      </c>
      <c r="H2245" s="1" t="s">
        <v>48</v>
      </c>
      <c r="I2245" s="1" t="s">
        <v>12</v>
      </c>
      <c r="J2245" s="1" t="s">
        <v>192</v>
      </c>
      <c r="K2245" s="1" t="s">
        <v>182</v>
      </c>
      <c r="L2245" s="1" t="s">
        <v>12</v>
      </c>
      <c r="M2245" s="1" t="s">
        <v>12</v>
      </c>
      <c r="N2245" s="1">
        <v>21.12</v>
      </c>
      <c r="O2245" s="1" t="s">
        <v>30</v>
      </c>
      <c r="P2245" s="1" t="s">
        <v>28</v>
      </c>
      <c r="Q2245" s="1" t="s">
        <v>16</v>
      </c>
      <c r="R2245" s="1" t="str">
        <f>IF(N2245="","",VLOOKUP(N2245,Prior_levels,2,TRUE))</f>
        <v>L</v>
      </c>
    </row>
    <row r="2246" spans="1:18" x14ac:dyDescent="0.2">
      <c r="A2246" s="1" t="s">
        <v>244</v>
      </c>
      <c r="B2246" s="1" t="s">
        <v>12</v>
      </c>
      <c r="C2246" s="2">
        <v>41155</v>
      </c>
      <c r="D2246" s="1">
        <v>10</v>
      </c>
      <c r="E2246" s="1" t="s">
        <v>47</v>
      </c>
      <c r="F2246" s="1" t="s">
        <v>28</v>
      </c>
      <c r="H2246" s="1" t="s">
        <v>48</v>
      </c>
      <c r="I2246" s="1" t="s">
        <v>12</v>
      </c>
      <c r="J2246" s="1" t="s">
        <v>192</v>
      </c>
      <c r="K2246" s="1" t="s">
        <v>182</v>
      </c>
      <c r="L2246" s="1" t="s">
        <v>12</v>
      </c>
      <c r="M2246" s="1" t="s">
        <v>12</v>
      </c>
      <c r="N2246" s="1">
        <v>21.12</v>
      </c>
      <c r="O2246" s="1" t="s">
        <v>31</v>
      </c>
      <c r="P2246" s="1" t="s">
        <v>28</v>
      </c>
      <c r="Q2246" s="1" t="s">
        <v>16</v>
      </c>
      <c r="R2246" s="1" t="str">
        <f>IF(N2246="","",VLOOKUP(N2246,Prior_levels,2,TRUE))</f>
        <v>L</v>
      </c>
    </row>
    <row r="2247" spans="1:18" x14ac:dyDescent="0.2">
      <c r="A2247" s="1" t="s">
        <v>245</v>
      </c>
      <c r="B2247" s="1" t="s">
        <v>10</v>
      </c>
      <c r="C2247" s="2">
        <v>41155</v>
      </c>
      <c r="D2247" s="1">
        <v>10</v>
      </c>
      <c r="E2247" s="1" t="s">
        <v>39</v>
      </c>
      <c r="H2247" s="1" t="s">
        <v>48</v>
      </c>
      <c r="I2247" s="1" t="s">
        <v>12</v>
      </c>
      <c r="J2247" s="1" t="s">
        <v>40</v>
      </c>
      <c r="K2247" s="1" t="s">
        <v>14</v>
      </c>
      <c r="L2247" s="1" t="s">
        <v>12</v>
      </c>
      <c r="M2247" s="1" t="s">
        <v>12</v>
      </c>
      <c r="N2247" s="1">
        <v>36.18</v>
      </c>
      <c r="O2247" s="1" t="s">
        <v>15</v>
      </c>
      <c r="P2247" s="1">
        <v>4.5</v>
      </c>
      <c r="Q2247" s="1" t="s">
        <v>16</v>
      </c>
      <c r="R2247" s="1" t="str">
        <f>IF(N2247="","",VLOOKUP(N2247,Prior_levels,2,TRUE))</f>
        <v>H</v>
      </c>
    </row>
    <row r="2248" spans="1:18" x14ac:dyDescent="0.2">
      <c r="A2248" s="1" t="s">
        <v>245</v>
      </c>
      <c r="B2248" s="1" t="s">
        <v>10</v>
      </c>
      <c r="C2248" s="2">
        <v>41155</v>
      </c>
      <c r="D2248" s="1">
        <v>10</v>
      </c>
      <c r="E2248" s="1" t="s">
        <v>39</v>
      </c>
      <c r="H2248" s="1" t="s">
        <v>48</v>
      </c>
      <c r="I2248" s="1" t="s">
        <v>12</v>
      </c>
      <c r="J2248" s="1" t="s">
        <v>40</v>
      </c>
      <c r="K2248" s="1" t="s">
        <v>14</v>
      </c>
      <c r="L2248" s="1" t="s">
        <v>12</v>
      </c>
      <c r="M2248" s="1" t="s">
        <v>12</v>
      </c>
      <c r="N2248" s="1">
        <v>36.18</v>
      </c>
      <c r="O2248" s="1" t="s">
        <v>18</v>
      </c>
      <c r="P2248" s="1">
        <v>10</v>
      </c>
      <c r="Q2248" s="1" t="s">
        <v>16</v>
      </c>
      <c r="R2248" s="1" t="str">
        <f>IF(N2248="","",VLOOKUP(N2248,Prior_levels,2,TRUE))</f>
        <v>H</v>
      </c>
    </row>
    <row r="2249" spans="1:18" x14ac:dyDescent="0.2">
      <c r="A2249" s="1" t="s">
        <v>245</v>
      </c>
      <c r="B2249" s="1" t="s">
        <v>10</v>
      </c>
      <c r="C2249" s="2">
        <v>41155</v>
      </c>
      <c r="D2249" s="1">
        <v>10</v>
      </c>
      <c r="E2249" s="1" t="s">
        <v>39</v>
      </c>
      <c r="H2249" s="1" t="s">
        <v>48</v>
      </c>
      <c r="I2249" s="1" t="s">
        <v>12</v>
      </c>
      <c r="J2249" s="1" t="s">
        <v>40</v>
      </c>
      <c r="K2249" s="1" t="s">
        <v>14</v>
      </c>
      <c r="L2249" s="1" t="s">
        <v>12</v>
      </c>
      <c r="M2249" s="1" t="s">
        <v>12</v>
      </c>
      <c r="N2249" s="1">
        <v>36.18</v>
      </c>
      <c r="O2249" s="1" t="s">
        <v>19</v>
      </c>
      <c r="P2249" s="1">
        <v>10</v>
      </c>
      <c r="Q2249" s="1" t="s">
        <v>16</v>
      </c>
      <c r="R2249" s="1" t="str">
        <f>IF(N2249="","",VLOOKUP(N2249,Prior_levels,2,TRUE))</f>
        <v>H</v>
      </c>
    </row>
    <row r="2250" spans="1:18" x14ac:dyDescent="0.2">
      <c r="A2250" s="1" t="s">
        <v>245</v>
      </c>
      <c r="B2250" s="1" t="s">
        <v>10</v>
      </c>
      <c r="C2250" s="2">
        <v>41155</v>
      </c>
      <c r="D2250" s="1">
        <v>10</v>
      </c>
      <c r="E2250" s="1" t="s">
        <v>39</v>
      </c>
      <c r="H2250" s="1" t="s">
        <v>48</v>
      </c>
      <c r="I2250" s="1" t="s">
        <v>12</v>
      </c>
      <c r="J2250" s="1" t="s">
        <v>40</v>
      </c>
      <c r="K2250" s="1" t="s">
        <v>14</v>
      </c>
      <c r="L2250" s="1" t="s">
        <v>12</v>
      </c>
      <c r="M2250" s="1" t="s">
        <v>12</v>
      </c>
      <c r="N2250" s="1">
        <v>36.18</v>
      </c>
      <c r="O2250" s="1" t="s">
        <v>20</v>
      </c>
      <c r="P2250" s="1">
        <v>12</v>
      </c>
      <c r="Q2250" s="1" t="s">
        <v>16</v>
      </c>
      <c r="R2250" s="1" t="str">
        <f>IF(N2250="","",VLOOKUP(N2250,Prior_levels,2,TRUE))</f>
        <v>H</v>
      </c>
    </row>
    <row r="2251" spans="1:18" x14ac:dyDescent="0.2">
      <c r="A2251" s="1" t="s">
        <v>245</v>
      </c>
      <c r="B2251" s="1" t="s">
        <v>10</v>
      </c>
      <c r="C2251" s="2">
        <v>41155</v>
      </c>
      <c r="D2251" s="1">
        <v>10</v>
      </c>
      <c r="E2251" s="1" t="s">
        <v>39</v>
      </c>
      <c r="H2251" s="1" t="s">
        <v>48</v>
      </c>
      <c r="I2251" s="1" t="s">
        <v>12</v>
      </c>
      <c r="J2251" s="1" t="s">
        <v>40</v>
      </c>
      <c r="K2251" s="1" t="s">
        <v>14</v>
      </c>
      <c r="L2251" s="1" t="s">
        <v>12</v>
      </c>
      <c r="M2251" s="1" t="s">
        <v>12</v>
      </c>
      <c r="N2251" s="1">
        <v>36.18</v>
      </c>
      <c r="O2251" s="1" t="s">
        <v>21</v>
      </c>
      <c r="P2251" s="1">
        <v>13</v>
      </c>
      <c r="Q2251" s="1" t="s">
        <v>16</v>
      </c>
      <c r="R2251" s="1" t="str">
        <f>IF(N2251="","",VLOOKUP(N2251,Prior_levels,2,TRUE))</f>
        <v>H</v>
      </c>
    </row>
    <row r="2252" spans="1:18" x14ac:dyDescent="0.2">
      <c r="A2252" s="1" t="s">
        <v>245</v>
      </c>
      <c r="B2252" s="1" t="s">
        <v>10</v>
      </c>
      <c r="C2252" s="2">
        <v>41155</v>
      </c>
      <c r="D2252" s="1">
        <v>10</v>
      </c>
      <c r="E2252" s="1" t="s">
        <v>39</v>
      </c>
      <c r="H2252" s="1" t="s">
        <v>48</v>
      </c>
      <c r="I2252" s="1" t="s">
        <v>12</v>
      </c>
      <c r="J2252" s="1" t="s">
        <v>40</v>
      </c>
      <c r="K2252" s="1" t="s">
        <v>14</v>
      </c>
      <c r="L2252" s="1" t="s">
        <v>12</v>
      </c>
      <c r="M2252" s="1" t="s">
        <v>12</v>
      </c>
      <c r="N2252" s="1">
        <v>36.18</v>
      </c>
      <c r="O2252" s="1" t="s">
        <v>26</v>
      </c>
      <c r="P2252" s="1">
        <v>9</v>
      </c>
      <c r="Q2252" s="1" t="s">
        <v>16</v>
      </c>
      <c r="R2252" s="1" t="str">
        <f>IF(N2252="","",VLOOKUP(N2252,Prior_levels,2,TRUE))</f>
        <v>H</v>
      </c>
    </row>
    <row r="2253" spans="1:18" x14ac:dyDescent="0.2">
      <c r="A2253" s="1" t="s">
        <v>245</v>
      </c>
      <c r="B2253" s="1" t="s">
        <v>10</v>
      </c>
      <c r="C2253" s="2">
        <v>41155</v>
      </c>
      <c r="D2253" s="1">
        <v>10</v>
      </c>
      <c r="E2253" s="1" t="s">
        <v>39</v>
      </c>
      <c r="H2253" s="1" t="s">
        <v>48</v>
      </c>
      <c r="I2253" s="1" t="s">
        <v>12</v>
      </c>
      <c r="J2253" s="1" t="s">
        <v>40</v>
      </c>
      <c r="K2253" s="1" t="s">
        <v>14</v>
      </c>
      <c r="L2253" s="1" t="s">
        <v>12</v>
      </c>
      <c r="M2253" s="1" t="s">
        <v>12</v>
      </c>
      <c r="N2253" s="1">
        <v>36.18</v>
      </c>
      <c r="O2253" s="1" t="s">
        <v>27</v>
      </c>
      <c r="P2253" s="1" t="s">
        <v>37</v>
      </c>
      <c r="Q2253" s="1" t="s">
        <v>16</v>
      </c>
      <c r="R2253" s="1" t="str">
        <f>IF(N2253="","",VLOOKUP(N2253,Prior_levels,2,TRUE))</f>
        <v>H</v>
      </c>
    </row>
    <row r="2254" spans="1:18" x14ac:dyDescent="0.2">
      <c r="A2254" s="1" t="s">
        <v>245</v>
      </c>
      <c r="B2254" s="1" t="s">
        <v>10</v>
      </c>
      <c r="C2254" s="2">
        <v>41155</v>
      </c>
      <c r="D2254" s="1">
        <v>10</v>
      </c>
      <c r="E2254" s="1" t="s">
        <v>39</v>
      </c>
      <c r="H2254" s="1" t="s">
        <v>48</v>
      </c>
      <c r="I2254" s="1" t="s">
        <v>12</v>
      </c>
      <c r="J2254" s="1" t="s">
        <v>40</v>
      </c>
      <c r="K2254" s="1" t="s">
        <v>14</v>
      </c>
      <c r="L2254" s="1" t="s">
        <v>12</v>
      </c>
      <c r="M2254" s="1" t="s">
        <v>12</v>
      </c>
      <c r="N2254" s="1">
        <v>36.18</v>
      </c>
      <c r="O2254" s="1" t="s">
        <v>29</v>
      </c>
      <c r="P2254" s="1" t="s">
        <v>37</v>
      </c>
      <c r="Q2254" s="1" t="s">
        <v>16</v>
      </c>
      <c r="R2254" s="1" t="str">
        <f>IF(N2254="","",VLOOKUP(N2254,Prior_levels,2,TRUE))</f>
        <v>H</v>
      </c>
    </row>
    <row r="2255" spans="1:18" x14ac:dyDescent="0.2">
      <c r="A2255" s="1" t="s">
        <v>245</v>
      </c>
      <c r="B2255" s="1" t="s">
        <v>10</v>
      </c>
      <c r="C2255" s="2">
        <v>41155</v>
      </c>
      <c r="D2255" s="1">
        <v>10</v>
      </c>
      <c r="E2255" s="1" t="s">
        <v>39</v>
      </c>
      <c r="H2255" s="1" t="s">
        <v>48</v>
      </c>
      <c r="I2255" s="1" t="s">
        <v>12</v>
      </c>
      <c r="J2255" s="1" t="s">
        <v>40</v>
      </c>
      <c r="K2255" s="1" t="s">
        <v>14</v>
      </c>
      <c r="L2255" s="1" t="s">
        <v>12</v>
      </c>
      <c r="M2255" s="1" t="s">
        <v>12</v>
      </c>
      <c r="N2255" s="1">
        <v>36.18</v>
      </c>
      <c r="O2255" s="1" t="s">
        <v>30</v>
      </c>
      <c r="P2255" s="1" t="s">
        <v>37</v>
      </c>
      <c r="Q2255" s="1" t="s">
        <v>16</v>
      </c>
      <c r="R2255" s="1" t="str">
        <f>IF(N2255="","",VLOOKUP(N2255,Prior_levels,2,TRUE))</f>
        <v>H</v>
      </c>
    </row>
    <row r="2256" spans="1:18" x14ac:dyDescent="0.2">
      <c r="A2256" s="1" t="s">
        <v>245</v>
      </c>
      <c r="B2256" s="1" t="s">
        <v>10</v>
      </c>
      <c r="C2256" s="2">
        <v>41155</v>
      </c>
      <c r="D2256" s="1">
        <v>10</v>
      </c>
      <c r="E2256" s="1" t="s">
        <v>39</v>
      </c>
      <c r="H2256" s="1" t="s">
        <v>48</v>
      </c>
      <c r="I2256" s="1" t="s">
        <v>12</v>
      </c>
      <c r="J2256" s="1" t="s">
        <v>40</v>
      </c>
      <c r="K2256" s="1" t="s">
        <v>14</v>
      </c>
      <c r="L2256" s="1" t="s">
        <v>12</v>
      </c>
      <c r="M2256" s="1" t="s">
        <v>12</v>
      </c>
      <c r="N2256" s="1">
        <v>36.18</v>
      </c>
      <c r="O2256" s="1" t="s">
        <v>31</v>
      </c>
      <c r="P2256" s="1" t="s">
        <v>37</v>
      </c>
      <c r="Q2256" s="1" t="s">
        <v>16</v>
      </c>
      <c r="R2256" s="1" t="str">
        <f>IF(N2256="","",VLOOKUP(N2256,Prior_levels,2,TRUE))</f>
        <v>H</v>
      </c>
    </row>
    <row r="2257" spans="1:18" x14ac:dyDescent="0.2">
      <c r="A2257" s="1" t="s">
        <v>245</v>
      </c>
      <c r="B2257" s="1" t="s">
        <v>10</v>
      </c>
      <c r="C2257" s="2">
        <v>41155</v>
      </c>
      <c r="D2257" s="1">
        <v>10</v>
      </c>
      <c r="E2257" s="1" t="s">
        <v>39</v>
      </c>
      <c r="H2257" s="1" t="s">
        <v>48</v>
      </c>
      <c r="I2257" s="1" t="s">
        <v>12</v>
      </c>
      <c r="J2257" s="1" t="s">
        <v>40</v>
      </c>
      <c r="K2257" s="1" t="s">
        <v>14</v>
      </c>
      <c r="L2257" s="1" t="s">
        <v>12</v>
      </c>
      <c r="M2257" s="1" t="s">
        <v>12</v>
      </c>
      <c r="N2257" s="1">
        <v>36.18</v>
      </c>
      <c r="O2257" s="1" t="s">
        <v>32</v>
      </c>
      <c r="P2257" s="1" t="s">
        <v>37</v>
      </c>
      <c r="Q2257" s="1" t="s">
        <v>16</v>
      </c>
      <c r="R2257" s="1" t="str">
        <f>IF(N2257="","",VLOOKUP(N2257,Prior_levels,2,TRUE))</f>
        <v>H</v>
      </c>
    </row>
    <row r="2258" spans="1:18" x14ac:dyDescent="0.2">
      <c r="A2258" s="1" t="s">
        <v>246</v>
      </c>
      <c r="B2258" s="1" t="s">
        <v>12</v>
      </c>
      <c r="C2258" s="2">
        <v>41155</v>
      </c>
      <c r="D2258" s="1">
        <v>10</v>
      </c>
      <c r="E2258" s="1" t="s">
        <v>52</v>
      </c>
      <c r="H2258" s="1" t="s">
        <v>54</v>
      </c>
      <c r="I2258" s="1" t="s">
        <v>12</v>
      </c>
      <c r="J2258" s="1" t="s">
        <v>40</v>
      </c>
      <c r="K2258" s="1" t="s">
        <v>14</v>
      </c>
      <c r="L2258" s="1" t="s">
        <v>12</v>
      </c>
      <c r="M2258" s="1" t="s">
        <v>12</v>
      </c>
      <c r="N2258" s="1">
        <v>24.12</v>
      </c>
      <c r="O2258" s="1" t="s">
        <v>15</v>
      </c>
      <c r="P2258" s="1">
        <v>3.5</v>
      </c>
      <c r="Q2258" s="1" t="s">
        <v>16</v>
      </c>
      <c r="R2258" s="1" t="str">
        <f>IF(N2258="","",VLOOKUP(N2258,Prior_levels,2,TRUE))</f>
        <v>M</v>
      </c>
    </row>
    <row r="2259" spans="1:18" x14ac:dyDescent="0.2">
      <c r="A2259" s="1" t="s">
        <v>246</v>
      </c>
      <c r="B2259" s="1" t="s">
        <v>12</v>
      </c>
      <c r="C2259" s="2">
        <v>41155</v>
      </c>
      <c r="D2259" s="1">
        <v>10</v>
      </c>
      <c r="E2259" s="1" t="s">
        <v>52</v>
      </c>
      <c r="H2259" s="1" t="s">
        <v>54</v>
      </c>
      <c r="I2259" s="1" t="s">
        <v>12</v>
      </c>
      <c r="J2259" s="1" t="s">
        <v>40</v>
      </c>
      <c r="K2259" s="1" t="s">
        <v>14</v>
      </c>
      <c r="L2259" s="1" t="s">
        <v>12</v>
      </c>
      <c r="M2259" s="1" t="s">
        <v>12</v>
      </c>
      <c r="N2259" s="1">
        <v>24.12</v>
      </c>
      <c r="O2259" s="1" t="s">
        <v>17</v>
      </c>
      <c r="P2259" s="1">
        <v>-0.11</v>
      </c>
      <c r="Q2259" s="1" t="s">
        <v>16</v>
      </c>
      <c r="R2259" s="1" t="str">
        <f>IF(N2259="","",VLOOKUP(N2259,Prior_levels,2,TRUE))</f>
        <v>M</v>
      </c>
    </row>
    <row r="2260" spans="1:18" x14ac:dyDescent="0.2">
      <c r="A2260" s="1" t="s">
        <v>246</v>
      </c>
      <c r="B2260" s="1" t="s">
        <v>12</v>
      </c>
      <c r="C2260" s="2">
        <v>41155</v>
      </c>
      <c r="D2260" s="1">
        <v>10</v>
      </c>
      <c r="E2260" s="1" t="s">
        <v>52</v>
      </c>
      <c r="H2260" s="1" t="s">
        <v>54</v>
      </c>
      <c r="I2260" s="1" t="s">
        <v>12</v>
      </c>
      <c r="J2260" s="1" t="s">
        <v>40</v>
      </c>
      <c r="K2260" s="1" t="s">
        <v>14</v>
      </c>
      <c r="L2260" s="1" t="s">
        <v>12</v>
      </c>
      <c r="M2260" s="1" t="s">
        <v>12</v>
      </c>
      <c r="N2260" s="1">
        <v>24.12</v>
      </c>
      <c r="O2260" s="1" t="s">
        <v>18</v>
      </c>
      <c r="P2260" s="1">
        <v>8</v>
      </c>
      <c r="Q2260" s="1" t="s">
        <v>16</v>
      </c>
      <c r="R2260" s="1" t="str">
        <f>IF(N2260="","",VLOOKUP(N2260,Prior_levels,2,TRUE))</f>
        <v>M</v>
      </c>
    </row>
    <row r="2261" spans="1:18" x14ac:dyDescent="0.2">
      <c r="A2261" s="1" t="s">
        <v>246</v>
      </c>
      <c r="B2261" s="1" t="s">
        <v>12</v>
      </c>
      <c r="C2261" s="2">
        <v>41155</v>
      </c>
      <c r="D2261" s="1">
        <v>10</v>
      </c>
      <c r="E2261" s="1" t="s">
        <v>52</v>
      </c>
      <c r="H2261" s="1" t="s">
        <v>54</v>
      </c>
      <c r="I2261" s="1" t="s">
        <v>12</v>
      </c>
      <c r="J2261" s="1" t="s">
        <v>40</v>
      </c>
      <c r="K2261" s="1" t="s">
        <v>14</v>
      </c>
      <c r="L2261" s="1" t="s">
        <v>12</v>
      </c>
      <c r="M2261" s="1" t="s">
        <v>12</v>
      </c>
      <c r="N2261" s="1">
        <v>24.12</v>
      </c>
      <c r="O2261" s="1" t="s">
        <v>19</v>
      </c>
      <c r="P2261" s="1">
        <v>8</v>
      </c>
      <c r="Q2261" s="1" t="s">
        <v>16</v>
      </c>
      <c r="R2261" s="1" t="str">
        <f>IF(N2261="","",VLOOKUP(N2261,Prior_levels,2,TRUE))</f>
        <v>M</v>
      </c>
    </row>
    <row r="2262" spans="1:18" x14ac:dyDescent="0.2">
      <c r="A2262" s="1" t="s">
        <v>246</v>
      </c>
      <c r="B2262" s="1" t="s">
        <v>12</v>
      </c>
      <c r="C2262" s="2">
        <v>41155</v>
      </c>
      <c r="D2262" s="1">
        <v>10</v>
      </c>
      <c r="E2262" s="1" t="s">
        <v>52</v>
      </c>
      <c r="H2262" s="1" t="s">
        <v>54</v>
      </c>
      <c r="I2262" s="1" t="s">
        <v>12</v>
      </c>
      <c r="J2262" s="1" t="s">
        <v>40</v>
      </c>
      <c r="K2262" s="1" t="s">
        <v>14</v>
      </c>
      <c r="L2262" s="1" t="s">
        <v>12</v>
      </c>
      <c r="M2262" s="1" t="s">
        <v>12</v>
      </c>
      <c r="N2262" s="1">
        <v>24.12</v>
      </c>
      <c r="O2262" s="1" t="s">
        <v>20</v>
      </c>
      <c r="P2262" s="1">
        <v>9</v>
      </c>
      <c r="Q2262" s="1" t="s">
        <v>16</v>
      </c>
      <c r="R2262" s="1" t="str">
        <f>IF(N2262="","",VLOOKUP(N2262,Prior_levels,2,TRUE))</f>
        <v>M</v>
      </c>
    </row>
    <row r="2263" spans="1:18" x14ac:dyDescent="0.2">
      <c r="A2263" s="1" t="s">
        <v>246</v>
      </c>
      <c r="B2263" s="1" t="s">
        <v>12</v>
      </c>
      <c r="C2263" s="2">
        <v>41155</v>
      </c>
      <c r="D2263" s="1">
        <v>10</v>
      </c>
      <c r="E2263" s="1" t="s">
        <v>52</v>
      </c>
      <c r="H2263" s="1" t="s">
        <v>54</v>
      </c>
      <c r="I2263" s="1" t="s">
        <v>12</v>
      </c>
      <c r="J2263" s="1" t="s">
        <v>40</v>
      </c>
      <c r="K2263" s="1" t="s">
        <v>14</v>
      </c>
      <c r="L2263" s="1" t="s">
        <v>12</v>
      </c>
      <c r="M2263" s="1" t="s">
        <v>12</v>
      </c>
      <c r="N2263" s="1">
        <v>24.12</v>
      </c>
      <c r="O2263" s="1" t="s">
        <v>21</v>
      </c>
      <c r="P2263" s="1">
        <v>10</v>
      </c>
      <c r="Q2263" s="1" t="s">
        <v>16</v>
      </c>
      <c r="R2263" s="1" t="str">
        <f>IF(N2263="","",VLOOKUP(N2263,Prior_levels,2,TRUE))</f>
        <v>M</v>
      </c>
    </row>
    <row r="2264" spans="1:18" x14ac:dyDescent="0.2">
      <c r="A2264" s="1" t="s">
        <v>246</v>
      </c>
      <c r="B2264" s="1" t="s">
        <v>12</v>
      </c>
      <c r="C2264" s="2">
        <v>41155</v>
      </c>
      <c r="D2264" s="1">
        <v>10</v>
      </c>
      <c r="E2264" s="1" t="s">
        <v>52</v>
      </c>
      <c r="H2264" s="1" t="s">
        <v>54</v>
      </c>
      <c r="I2264" s="1" t="s">
        <v>12</v>
      </c>
      <c r="J2264" s="1" t="s">
        <v>40</v>
      </c>
      <c r="K2264" s="1" t="s">
        <v>14</v>
      </c>
      <c r="L2264" s="1" t="s">
        <v>12</v>
      </c>
      <c r="M2264" s="1" t="s">
        <v>12</v>
      </c>
      <c r="N2264" s="1">
        <v>24.12</v>
      </c>
      <c r="O2264" s="1" t="s">
        <v>22</v>
      </c>
      <c r="P2264" s="1">
        <v>-0.32</v>
      </c>
      <c r="Q2264" s="1" t="s">
        <v>16</v>
      </c>
      <c r="R2264" s="1" t="str">
        <f>IF(N2264="","",VLOOKUP(N2264,Prior_levels,2,TRUE))</f>
        <v>M</v>
      </c>
    </row>
    <row r="2265" spans="1:18" x14ac:dyDescent="0.2">
      <c r="A2265" s="1" t="s">
        <v>246</v>
      </c>
      <c r="B2265" s="1" t="s">
        <v>12</v>
      </c>
      <c r="C2265" s="2">
        <v>41155</v>
      </c>
      <c r="D2265" s="1">
        <v>10</v>
      </c>
      <c r="E2265" s="1" t="s">
        <v>52</v>
      </c>
      <c r="H2265" s="1" t="s">
        <v>54</v>
      </c>
      <c r="I2265" s="1" t="s">
        <v>12</v>
      </c>
      <c r="J2265" s="1" t="s">
        <v>40</v>
      </c>
      <c r="K2265" s="1" t="s">
        <v>14</v>
      </c>
      <c r="L2265" s="1" t="s">
        <v>12</v>
      </c>
      <c r="M2265" s="1" t="s">
        <v>12</v>
      </c>
      <c r="N2265" s="1">
        <v>24.12</v>
      </c>
      <c r="O2265" s="1" t="s">
        <v>23</v>
      </c>
      <c r="P2265" s="1">
        <v>0.34</v>
      </c>
      <c r="Q2265" s="1" t="s">
        <v>16</v>
      </c>
      <c r="R2265" s="1" t="str">
        <f>IF(N2265="","",VLOOKUP(N2265,Prior_levels,2,TRUE))</f>
        <v>M</v>
      </c>
    </row>
    <row r="2266" spans="1:18" x14ac:dyDescent="0.2">
      <c r="A2266" s="1" t="s">
        <v>246</v>
      </c>
      <c r="B2266" s="1" t="s">
        <v>12</v>
      </c>
      <c r="C2266" s="2">
        <v>41155</v>
      </c>
      <c r="D2266" s="1">
        <v>10</v>
      </c>
      <c r="E2266" s="1" t="s">
        <v>52</v>
      </c>
      <c r="H2266" s="1" t="s">
        <v>54</v>
      </c>
      <c r="I2266" s="1" t="s">
        <v>12</v>
      </c>
      <c r="J2266" s="1" t="s">
        <v>40</v>
      </c>
      <c r="K2266" s="1" t="s">
        <v>14</v>
      </c>
      <c r="L2266" s="1" t="s">
        <v>12</v>
      </c>
      <c r="M2266" s="1" t="s">
        <v>12</v>
      </c>
      <c r="N2266" s="1">
        <v>24.12</v>
      </c>
      <c r="O2266" s="1" t="s">
        <v>24</v>
      </c>
      <c r="P2266" s="1">
        <v>1.74</v>
      </c>
      <c r="Q2266" s="1" t="s">
        <v>16</v>
      </c>
      <c r="R2266" s="1" t="str">
        <f>IF(N2266="","",VLOOKUP(N2266,Prior_levels,2,TRUE))</f>
        <v>M</v>
      </c>
    </row>
    <row r="2267" spans="1:18" x14ac:dyDescent="0.2">
      <c r="A2267" s="1" t="s">
        <v>246</v>
      </c>
      <c r="B2267" s="1" t="s">
        <v>12</v>
      </c>
      <c r="C2267" s="2">
        <v>41155</v>
      </c>
      <c r="D2267" s="1">
        <v>10</v>
      </c>
      <c r="E2267" s="1" t="s">
        <v>52</v>
      </c>
      <c r="H2267" s="1" t="s">
        <v>54</v>
      </c>
      <c r="I2267" s="1" t="s">
        <v>12</v>
      </c>
      <c r="J2267" s="1" t="s">
        <v>40</v>
      </c>
      <c r="K2267" s="1" t="s">
        <v>14</v>
      </c>
      <c r="L2267" s="1" t="s">
        <v>12</v>
      </c>
      <c r="M2267" s="1" t="s">
        <v>12</v>
      </c>
      <c r="N2267" s="1">
        <v>24.12</v>
      </c>
      <c r="O2267" s="1" t="s">
        <v>25</v>
      </c>
      <c r="P2267" s="1">
        <v>-2.92</v>
      </c>
      <c r="Q2267" s="1" t="s">
        <v>16</v>
      </c>
      <c r="R2267" s="1" t="str">
        <f>IF(N2267="","",VLOOKUP(N2267,Prior_levels,2,TRUE))</f>
        <v>M</v>
      </c>
    </row>
    <row r="2268" spans="1:18" x14ac:dyDescent="0.2">
      <c r="A2268" s="1" t="s">
        <v>246</v>
      </c>
      <c r="B2268" s="1" t="s">
        <v>12</v>
      </c>
      <c r="C2268" s="2">
        <v>41155</v>
      </c>
      <c r="D2268" s="1">
        <v>10</v>
      </c>
      <c r="E2268" s="1" t="s">
        <v>52</v>
      </c>
      <c r="H2268" s="1" t="s">
        <v>54</v>
      </c>
      <c r="I2268" s="1" t="s">
        <v>12</v>
      </c>
      <c r="J2268" s="1" t="s">
        <v>40</v>
      </c>
      <c r="K2268" s="1" t="s">
        <v>14</v>
      </c>
      <c r="L2268" s="1" t="s">
        <v>12</v>
      </c>
      <c r="M2268" s="1" t="s">
        <v>12</v>
      </c>
      <c r="N2268" s="1">
        <v>24.12</v>
      </c>
      <c r="O2268" s="1" t="s">
        <v>26</v>
      </c>
      <c r="P2268" s="1">
        <v>0</v>
      </c>
      <c r="Q2268" s="1" t="s">
        <v>16</v>
      </c>
      <c r="R2268" s="1" t="str">
        <f>IF(N2268="","",VLOOKUP(N2268,Prior_levels,2,TRUE))</f>
        <v>M</v>
      </c>
    </row>
    <row r="2269" spans="1:18" x14ac:dyDescent="0.2">
      <c r="A2269" s="1" t="s">
        <v>246</v>
      </c>
      <c r="B2269" s="1" t="s">
        <v>12</v>
      </c>
      <c r="C2269" s="2">
        <v>41155</v>
      </c>
      <c r="D2269" s="1">
        <v>10</v>
      </c>
      <c r="E2269" s="1" t="s">
        <v>52</v>
      </c>
      <c r="H2269" s="1" t="s">
        <v>54</v>
      </c>
      <c r="I2269" s="1" t="s">
        <v>12</v>
      </c>
      <c r="J2269" s="1" t="s">
        <v>40</v>
      </c>
      <c r="K2269" s="1" t="s">
        <v>14</v>
      </c>
      <c r="L2269" s="1" t="s">
        <v>12</v>
      </c>
      <c r="M2269" s="1" t="s">
        <v>12</v>
      </c>
      <c r="N2269" s="1">
        <v>24.12</v>
      </c>
      <c r="O2269" s="1" t="s">
        <v>32</v>
      </c>
      <c r="P2269" s="1" t="s">
        <v>28</v>
      </c>
      <c r="Q2269" s="1" t="s">
        <v>16</v>
      </c>
      <c r="R2269" s="1" t="str">
        <f>IF(N2269="","",VLOOKUP(N2269,Prior_levels,2,TRUE))</f>
        <v>M</v>
      </c>
    </row>
    <row r="2270" spans="1:18" x14ac:dyDescent="0.2">
      <c r="A2270" s="1" t="s">
        <v>246</v>
      </c>
      <c r="B2270" s="1" t="s">
        <v>12</v>
      </c>
      <c r="C2270" s="2">
        <v>41155</v>
      </c>
      <c r="D2270" s="1">
        <v>10</v>
      </c>
      <c r="E2270" s="1" t="s">
        <v>52</v>
      </c>
      <c r="H2270" s="1" t="s">
        <v>54</v>
      </c>
      <c r="I2270" s="1" t="s">
        <v>12</v>
      </c>
      <c r="J2270" s="1" t="s">
        <v>40</v>
      </c>
      <c r="K2270" s="1" t="s">
        <v>14</v>
      </c>
      <c r="L2270" s="1" t="s">
        <v>12</v>
      </c>
      <c r="M2270" s="1" t="s">
        <v>12</v>
      </c>
      <c r="N2270" s="1">
        <v>24.12</v>
      </c>
      <c r="O2270" s="1" t="s">
        <v>27</v>
      </c>
      <c r="P2270" s="1" t="s">
        <v>28</v>
      </c>
      <c r="Q2270" s="1" t="s">
        <v>16</v>
      </c>
      <c r="R2270" s="1" t="str">
        <f>IF(N2270="","",VLOOKUP(N2270,Prior_levels,2,TRUE))</f>
        <v>M</v>
      </c>
    </row>
    <row r="2271" spans="1:18" x14ac:dyDescent="0.2">
      <c r="A2271" s="1" t="s">
        <v>246</v>
      </c>
      <c r="B2271" s="1" t="s">
        <v>12</v>
      </c>
      <c r="C2271" s="2">
        <v>41155</v>
      </c>
      <c r="D2271" s="1">
        <v>10</v>
      </c>
      <c r="E2271" s="1" t="s">
        <v>52</v>
      </c>
      <c r="H2271" s="1" t="s">
        <v>54</v>
      </c>
      <c r="I2271" s="1" t="s">
        <v>12</v>
      </c>
      <c r="J2271" s="1" t="s">
        <v>40</v>
      </c>
      <c r="K2271" s="1" t="s">
        <v>14</v>
      </c>
      <c r="L2271" s="1" t="s">
        <v>12</v>
      </c>
      <c r="M2271" s="1" t="s">
        <v>12</v>
      </c>
      <c r="N2271" s="1">
        <v>24.12</v>
      </c>
      <c r="O2271" s="1" t="s">
        <v>29</v>
      </c>
      <c r="P2271" s="1" t="s">
        <v>28</v>
      </c>
      <c r="Q2271" s="1" t="s">
        <v>16</v>
      </c>
      <c r="R2271" s="1" t="str">
        <f>IF(N2271="","",VLOOKUP(N2271,Prior_levels,2,TRUE))</f>
        <v>M</v>
      </c>
    </row>
    <row r="2272" spans="1:18" x14ac:dyDescent="0.2">
      <c r="A2272" s="1" t="s">
        <v>246</v>
      </c>
      <c r="B2272" s="1" t="s">
        <v>12</v>
      </c>
      <c r="C2272" s="2">
        <v>41155</v>
      </c>
      <c r="D2272" s="1">
        <v>10</v>
      </c>
      <c r="E2272" s="1" t="s">
        <v>52</v>
      </c>
      <c r="H2272" s="1" t="s">
        <v>54</v>
      </c>
      <c r="I2272" s="1" t="s">
        <v>12</v>
      </c>
      <c r="J2272" s="1" t="s">
        <v>40</v>
      </c>
      <c r="K2272" s="1" t="s">
        <v>14</v>
      </c>
      <c r="L2272" s="1" t="s">
        <v>12</v>
      </c>
      <c r="M2272" s="1" t="s">
        <v>12</v>
      </c>
      <c r="N2272" s="1">
        <v>24.12</v>
      </c>
      <c r="O2272" s="1" t="s">
        <v>30</v>
      </c>
      <c r="P2272" s="1" t="s">
        <v>28</v>
      </c>
      <c r="Q2272" s="1" t="s">
        <v>16</v>
      </c>
      <c r="R2272" s="1" t="str">
        <f>IF(N2272="","",VLOOKUP(N2272,Prior_levels,2,TRUE))</f>
        <v>M</v>
      </c>
    </row>
    <row r="2273" spans="1:18" x14ac:dyDescent="0.2">
      <c r="A2273" s="1" t="s">
        <v>246</v>
      </c>
      <c r="B2273" s="1" t="s">
        <v>12</v>
      </c>
      <c r="C2273" s="2">
        <v>41155</v>
      </c>
      <c r="D2273" s="1">
        <v>10</v>
      </c>
      <c r="E2273" s="1" t="s">
        <v>52</v>
      </c>
      <c r="H2273" s="1" t="s">
        <v>54</v>
      </c>
      <c r="I2273" s="1" t="s">
        <v>12</v>
      </c>
      <c r="J2273" s="1" t="s">
        <v>40</v>
      </c>
      <c r="K2273" s="1" t="s">
        <v>14</v>
      </c>
      <c r="L2273" s="1" t="s">
        <v>12</v>
      </c>
      <c r="M2273" s="1" t="s">
        <v>12</v>
      </c>
      <c r="N2273" s="1">
        <v>24.12</v>
      </c>
      <c r="O2273" s="1" t="s">
        <v>31</v>
      </c>
      <c r="P2273" s="1" t="s">
        <v>28</v>
      </c>
      <c r="Q2273" s="1" t="s">
        <v>16</v>
      </c>
      <c r="R2273" s="1" t="str">
        <f>IF(N2273="","",VLOOKUP(N2273,Prior_levels,2,TRUE))</f>
        <v>M</v>
      </c>
    </row>
    <row r="2274" spans="1:18" x14ac:dyDescent="0.2">
      <c r="A2274" s="1" t="s">
        <v>247</v>
      </c>
      <c r="B2274" s="1" t="s">
        <v>10</v>
      </c>
      <c r="C2274" s="2">
        <v>41155</v>
      </c>
      <c r="D2274" s="1">
        <v>10</v>
      </c>
      <c r="E2274" s="1" t="s">
        <v>11</v>
      </c>
      <c r="H2274" s="1" t="s">
        <v>54</v>
      </c>
      <c r="I2274" s="1" t="s">
        <v>12</v>
      </c>
      <c r="J2274" s="1" t="s">
        <v>43</v>
      </c>
      <c r="K2274" s="1" t="s">
        <v>14</v>
      </c>
      <c r="L2274" s="1" t="s">
        <v>12</v>
      </c>
      <c r="M2274" s="1" t="s">
        <v>12</v>
      </c>
      <c r="N2274" s="1">
        <v>24.12</v>
      </c>
      <c r="O2274" s="1" t="s">
        <v>15</v>
      </c>
      <c r="P2274" s="1">
        <v>3.5</v>
      </c>
      <c r="Q2274" s="1" t="s">
        <v>16</v>
      </c>
      <c r="R2274" s="1" t="str">
        <f>IF(N2274="","",VLOOKUP(N2274,Prior_levels,2,TRUE))</f>
        <v>M</v>
      </c>
    </row>
    <row r="2275" spans="1:18" x14ac:dyDescent="0.2">
      <c r="A2275" s="1" t="s">
        <v>247</v>
      </c>
      <c r="B2275" s="1" t="s">
        <v>10</v>
      </c>
      <c r="C2275" s="2">
        <v>41155</v>
      </c>
      <c r="D2275" s="1">
        <v>10</v>
      </c>
      <c r="E2275" s="1" t="s">
        <v>11</v>
      </c>
      <c r="H2275" s="1" t="s">
        <v>54</v>
      </c>
      <c r="I2275" s="1" t="s">
        <v>12</v>
      </c>
      <c r="J2275" s="1" t="s">
        <v>43</v>
      </c>
      <c r="K2275" s="1" t="s">
        <v>14</v>
      </c>
      <c r="L2275" s="1" t="s">
        <v>12</v>
      </c>
      <c r="M2275" s="1" t="s">
        <v>12</v>
      </c>
      <c r="N2275" s="1">
        <v>24.12</v>
      </c>
      <c r="O2275" s="1" t="s">
        <v>17</v>
      </c>
      <c r="P2275" s="1">
        <v>-0.11</v>
      </c>
      <c r="Q2275" s="1" t="s">
        <v>16</v>
      </c>
      <c r="R2275" s="1" t="str">
        <f>IF(N2275="","",VLOOKUP(N2275,Prior_levels,2,TRUE))</f>
        <v>M</v>
      </c>
    </row>
    <row r="2276" spans="1:18" x14ac:dyDescent="0.2">
      <c r="A2276" s="1" t="s">
        <v>247</v>
      </c>
      <c r="B2276" s="1" t="s">
        <v>10</v>
      </c>
      <c r="C2276" s="2">
        <v>41155</v>
      </c>
      <c r="D2276" s="1">
        <v>10</v>
      </c>
      <c r="E2276" s="1" t="s">
        <v>11</v>
      </c>
      <c r="H2276" s="1" t="s">
        <v>54</v>
      </c>
      <c r="I2276" s="1" t="s">
        <v>12</v>
      </c>
      <c r="J2276" s="1" t="s">
        <v>43</v>
      </c>
      <c r="K2276" s="1" t="s">
        <v>14</v>
      </c>
      <c r="L2276" s="1" t="s">
        <v>12</v>
      </c>
      <c r="M2276" s="1" t="s">
        <v>12</v>
      </c>
      <c r="N2276" s="1">
        <v>24.12</v>
      </c>
      <c r="O2276" s="1" t="s">
        <v>18</v>
      </c>
      <c r="P2276" s="1">
        <v>8</v>
      </c>
      <c r="Q2276" s="1" t="s">
        <v>16</v>
      </c>
      <c r="R2276" s="1" t="str">
        <f>IF(N2276="","",VLOOKUP(N2276,Prior_levels,2,TRUE))</f>
        <v>M</v>
      </c>
    </row>
    <row r="2277" spans="1:18" x14ac:dyDescent="0.2">
      <c r="A2277" s="1" t="s">
        <v>247</v>
      </c>
      <c r="B2277" s="1" t="s">
        <v>10</v>
      </c>
      <c r="C2277" s="2">
        <v>41155</v>
      </c>
      <c r="D2277" s="1">
        <v>10</v>
      </c>
      <c r="E2277" s="1" t="s">
        <v>11</v>
      </c>
      <c r="H2277" s="1" t="s">
        <v>54</v>
      </c>
      <c r="I2277" s="1" t="s">
        <v>12</v>
      </c>
      <c r="J2277" s="1" t="s">
        <v>43</v>
      </c>
      <c r="K2277" s="1" t="s">
        <v>14</v>
      </c>
      <c r="L2277" s="1" t="s">
        <v>12</v>
      </c>
      <c r="M2277" s="1" t="s">
        <v>12</v>
      </c>
      <c r="N2277" s="1">
        <v>24.12</v>
      </c>
      <c r="O2277" s="1" t="s">
        <v>19</v>
      </c>
      <c r="P2277" s="1">
        <v>8</v>
      </c>
      <c r="Q2277" s="1" t="s">
        <v>16</v>
      </c>
      <c r="R2277" s="1" t="str">
        <f>IF(N2277="","",VLOOKUP(N2277,Prior_levels,2,TRUE))</f>
        <v>M</v>
      </c>
    </row>
    <row r="2278" spans="1:18" x14ac:dyDescent="0.2">
      <c r="A2278" s="1" t="s">
        <v>247</v>
      </c>
      <c r="B2278" s="1" t="s">
        <v>10</v>
      </c>
      <c r="C2278" s="2">
        <v>41155</v>
      </c>
      <c r="D2278" s="1">
        <v>10</v>
      </c>
      <c r="E2278" s="1" t="s">
        <v>11</v>
      </c>
      <c r="H2278" s="1" t="s">
        <v>54</v>
      </c>
      <c r="I2278" s="1" t="s">
        <v>12</v>
      </c>
      <c r="J2278" s="1" t="s">
        <v>43</v>
      </c>
      <c r="K2278" s="1" t="s">
        <v>14</v>
      </c>
      <c r="L2278" s="1" t="s">
        <v>12</v>
      </c>
      <c r="M2278" s="1" t="s">
        <v>12</v>
      </c>
      <c r="N2278" s="1">
        <v>24.12</v>
      </c>
      <c r="O2278" s="1" t="s">
        <v>20</v>
      </c>
      <c r="P2278" s="1">
        <v>9</v>
      </c>
      <c r="Q2278" s="1" t="s">
        <v>16</v>
      </c>
      <c r="R2278" s="1" t="str">
        <f>IF(N2278="","",VLOOKUP(N2278,Prior_levels,2,TRUE))</f>
        <v>M</v>
      </c>
    </row>
    <row r="2279" spans="1:18" x14ac:dyDescent="0.2">
      <c r="A2279" s="1" t="s">
        <v>247</v>
      </c>
      <c r="B2279" s="1" t="s">
        <v>10</v>
      </c>
      <c r="C2279" s="2">
        <v>41155</v>
      </c>
      <c r="D2279" s="1">
        <v>10</v>
      </c>
      <c r="E2279" s="1" t="s">
        <v>11</v>
      </c>
      <c r="H2279" s="1" t="s">
        <v>54</v>
      </c>
      <c r="I2279" s="1" t="s">
        <v>12</v>
      </c>
      <c r="J2279" s="1" t="s">
        <v>43</v>
      </c>
      <c r="K2279" s="1" t="s">
        <v>14</v>
      </c>
      <c r="L2279" s="1" t="s">
        <v>12</v>
      </c>
      <c r="M2279" s="1" t="s">
        <v>12</v>
      </c>
      <c r="N2279" s="1">
        <v>24.12</v>
      </c>
      <c r="O2279" s="1" t="s">
        <v>21</v>
      </c>
      <c r="P2279" s="1">
        <v>10</v>
      </c>
      <c r="Q2279" s="1" t="s">
        <v>16</v>
      </c>
      <c r="R2279" s="1" t="str">
        <f>IF(N2279="","",VLOOKUP(N2279,Prior_levels,2,TRUE))</f>
        <v>M</v>
      </c>
    </row>
    <row r="2280" spans="1:18" x14ac:dyDescent="0.2">
      <c r="A2280" s="1" t="s">
        <v>247</v>
      </c>
      <c r="B2280" s="1" t="s">
        <v>10</v>
      </c>
      <c r="C2280" s="2">
        <v>41155</v>
      </c>
      <c r="D2280" s="1">
        <v>10</v>
      </c>
      <c r="E2280" s="1" t="s">
        <v>11</v>
      </c>
      <c r="H2280" s="1" t="s">
        <v>54</v>
      </c>
      <c r="I2280" s="1" t="s">
        <v>12</v>
      </c>
      <c r="J2280" s="1" t="s">
        <v>43</v>
      </c>
      <c r="K2280" s="1" t="s">
        <v>14</v>
      </c>
      <c r="L2280" s="1" t="s">
        <v>12</v>
      </c>
      <c r="M2280" s="1" t="s">
        <v>12</v>
      </c>
      <c r="N2280" s="1">
        <v>24.12</v>
      </c>
      <c r="O2280" s="1" t="s">
        <v>22</v>
      </c>
      <c r="P2280" s="1">
        <v>-0.32</v>
      </c>
      <c r="Q2280" s="1" t="s">
        <v>16</v>
      </c>
      <c r="R2280" s="1" t="str">
        <f>IF(N2280="","",VLOOKUP(N2280,Prior_levels,2,TRUE))</f>
        <v>M</v>
      </c>
    </row>
    <row r="2281" spans="1:18" x14ac:dyDescent="0.2">
      <c r="A2281" s="1" t="s">
        <v>247</v>
      </c>
      <c r="B2281" s="1" t="s">
        <v>10</v>
      </c>
      <c r="C2281" s="2">
        <v>41155</v>
      </c>
      <c r="D2281" s="1">
        <v>10</v>
      </c>
      <c r="E2281" s="1" t="s">
        <v>11</v>
      </c>
      <c r="H2281" s="1" t="s">
        <v>54</v>
      </c>
      <c r="I2281" s="1" t="s">
        <v>12</v>
      </c>
      <c r="J2281" s="1" t="s">
        <v>43</v>
      </c>
      <c r="K2281" s="1" t="s">
        <v>14</v>
      </c>
      <c r="L2281" s="1" t="s">
        <v>12</v>
      </c>
      <c r="M2281" s="1" t="s">
        <v>12</v>
      </c>
      <c r="N2281" s="1">
        <v>24.12</v>
      </c>
      <c r="O2281" s="1" t="s">
        <v>23</v>
      </c>
      <c r="P2281" s="1">
        <v>0.34</v>
      </c>
      <c r="Q2281" s="1" t="s">
        <v>16</v>
      </c>
      <c r="R2281" s="1" t="str">
        <f>IF(N2281="","",VLOOKUP(N2281,Prior_levels,2,TRUE))</f>
        <v>M</v>
      </c>
    </row>
    <row r="2282" spans="1:18" x14ac:dyDescent="0.2">
      <c r="A2282" s="1" t="s">
        <v>247</v>
      </c>
      <c r="B2282" s="1" t="s">
        <v>10</v>
      </c>
      <c r="C2282" s="2">
        <v>41155</v>
      </c>
      <c r="D2282" s="1">
        <v>10</v>
      </c>
      <c r="E2282" s="1" t="s">
        <v>11</v>
      </c>
      <c r="H2282" s="1" t="s">
        <v>54</v>
      </c>
      <c r="I2282" s="1" t="s">
        <v>12</v>
      </c>
      <c r="J2282" s="1" t="s">
        <v>43</v>
      </c>
      <c r="K2282" s="1" t="s">
        <v>14</v>
      </c>
      <c r="L2282" s="1" t="s">
        <v>12</v>
      </c>
      <c r="M2282" s="1" t="s">
        <v>12</v>
      </c>
      <c r="N2282" s="1">
        <v>24.12</v>
      </c>
      <c r="O2282" s="1" t="s">
        <v>25</v>
      </c>
      <c r="P2282" s="1">
        <v>-2.92</v>
      </c>
      <c r="Q2282" s="1" t="s">
        <v>16</v>
      </c>
      <c r="R2282" s="1" t="str">
        <f>IF(N2282="","",VLOOKUP(N2282,Prior_levels,2,TRUE))</f>
        <v>M</v>
      </c>
    </row>
    <row r="2283" spans="1:18" x14ac:dyDescent="0.2">
      <c r="A2283" s="1" t="s">
        <v>247</v>
      </c>
      <c r="B2283" s="1" t="s">
        <v>10</v>
      </c>
      <c r="C2283" s="2">
        <v>41155</v>
      </c>
      <c r="D2283" s="1">
        <v>10</v>
      </c>
      <c r="E2283" s="1" t="s">
        <v>11</v>
      </c>
      <c r="H2283" s="1" t="s">
        <v>54</v>
      </c>
      <c r="I2283" s="1" t="s">
        <v>12</v>
      </c>
      <c r="J2283" s="1" t="s">
        <v>43</v>
      </c>
      <c r="K2283" s="1" t="s">
        <v>14</v>
      </c>
      <c r="L2283" s="1" t="s">
        <v>12</v>
      </c>
      <c r="M2283" s="1" t="s">
        <v>12</v>
      </c>
      <c r="N2283" s="1">
        <v>24.12</v>
      </c>
      <c r="O2283" s="1" t="s">
        <v>26</v>
      </c>
      <c r="P2283" s="1">
        <v>0</v>
      </c>
      <c r="Q2283" s="1" t="s">
        <v>16</v>
      </c>
      <c r="R2283" s="1" t="str">
        <f>IF(N2283="","",VLOOKUP(N2283,Prior_levels,2,TRUE))</f>
        <v>M</v>
      </c>
    </row>
    <row r="2284" spans="1:18" x14ac:dyDescent="0.2">
      <c r="A2284" s="1" t="s">
        <v>247</v>
      </c>
      <c r="B2284" s="1" t="s">
        <v>10</v>
      </c>
      <c r="C2284" s="2">
        <v>41155</v>
      </c>
      <c r="D2284" s="1">
        <v>10</v>
      </c>
      <c r="E2284" s="1" t="s">
        <v>11</v>
      </c>
      <c r="H2284" s="1" t="s">
        <v>54</v>
      </c>
      <c r="I2284" s="1" t="s">
        <v>12</v>
      </c>
      <c r="J2284" s="1" t="s">
        <v>43</v>
      </c>
      <c r="K2284" s="1" t="s">
        <v>14</v>
      </c>
      <c r="L2284" s="1" t="s">
        <v>12</v>
      </c>
      <c r="M2284" s="1" t="s">
        <v>12</v>
      </c>
      <c r="N2284" s="1">
        <v>24.12</v>
      </c>
      <c r="O2284" s="1" t="s">
        <v>24</v>
      </c>
      <c r="P2284" s="1">
        <v>1.74</v>
      </c>
      <c r="Q2284" s="1" t="s">
        <v>16</v>
      </c>
      <c r="R2284" s="1" t="str">
        <f>IF(N2284="","",VLOOKUP(N2284,Prior_levels,2,TRUE))</f>
        <v>M</v>
      </c>
    </row>
    <row r="2285" spans="1:18" x14ac:dyDescent="0.2">
      <c r="A2285" s="1" t="s">
        <v>247</v>
      </c>
      <c r="B2285" s="1" t="s">
        <v>10</v>
      </c>
      <c r="C2285" s="2">
        <v>41155</v>
      </c>
      <c r="D2285" s="1">
        <v>10</v>
      </c>
      <c r="E2285" s="1" t="s">
        <v>11</v>
      </c>
      <c r="H2285" s="1" t="s">
        <v>54</v>
      </c>
      <c r="I2285" s="1" t="s">
        <v>12</v>
      </c>
      <c r="J2285" s="1" t="s">
        <v>43</v>
      </c>
      <c r="K2285" s="1" t="s">
        <v>14</v>
      </c>
      <c r="L2285" s="1" t="s">
        <v>12</v>
      </c>
      <c r="M2285" s="1" t="s">
        <v>12</v>
      </c>
      <c r="N2285" s="1">
        <v>24.12</v>
      </c>
      <c r="O2285" s="1" t="s">
        <v>27</v>
      </c>
      <c r="P2285" s="1" t="s">
        <v>28</v>
      </c>
      <c r="Q2285" s="1" t="s">
        <v>16</v>
      </c>
      <c r="R2285" s="1" t="str">
        <f>IF(N2285="","",VLOOKUP(N2285,Prior_levels,2,TRUE))</f>
        <v>M</v>
      </c>
    </row>
    <row r="2286" spans="1:18" x14ac:dyDescent="0.2">
      <c r="A2286" s="1" t="s">
        <v>247</v>
      </c>
      <c r="B2286" s="1" t="s">
        <v>10</v>
      </c>
      <c r="C2286" s="2">
        <v>41155</v>
      </c>
      <c r="D2286" s="1">
        <v>10</v>
      </c>
      <c r="E2286" s="1" t="s">
        <v>11</v>
      </c>
      <c r="H2286" s="1" t="s">
        <v>54</v>
      </c>
      <c r="I2286" s="1" t="s">
        <v>12</v>
      </c>
      <c r="J2286" s="1" t="s">
        <v>43</v>
      </c>
      <c r="K2286" s="1" t="s">
        <v>14</v>
      </c>
      <c r="L2286" s="1" t="s">
        <v>12</v>
      </c>
      <c r="M2286" s="1" t="s">
        <v>12</v>
      </c>
      <c r="N2286" s="1">
        <v>24.12</v>
      </c>
      <c r="O2286" s="1" t="s">
        <v>29</v>
      </c>
      <c r="P2286" s="1" t="s">
        <v>28</v>
      </c>
      <c r="Q2286" s="1" t="s">
        <v>16</v>
      </c>
      <c r="R2286" s="1" t="str">
        <f>IF(N2286="","",VLOOKUP(N2286,Prior_levels,2,TRUE))</f>
        <v>M</v>
      </c>
    </row>
    <row r="2287" spans="1:18" x14ac:dyDescent="0.2">
      <c r="A2287" s="1" t="s">
        <v>247</v>
      </c>
      <c r="B2287" s="1" t="s">
        <v>10</v>
      </c>
      <c r="C2287" s="2">
        <v>41155</v>
      </c>
      <c r="D2287" s="1">
        <v>10</v>
      </c>
      <c r="E2287" s="1" t="s">
        <v>11</v>
      </c>
      <c r="H2287" s="1" t="s">
        <v>54</v>
      </c>
      <c r="I2287" s="1" t="s">
        <v>12</v>
      </c>
      <c r="J2287" s="1" t="s">
        <v>43</v>
      </c>
      <c r="K2287" s="1" t="s">
        <v>14</v>
      </c>
      <c r="L2287" s="1" t="s">
        <v>12</v>
      </c>
      <c r="M2287" s="1" t="s">
        <v>12</v>
      </c>
      <c r="N2287" s="1">
        <v>24.12</v>
      </c>
      <c r="O2287" s="1" t="s">
        <v>30</v>
      </c>
      <c r="P2287" s="1" t="s">
        <v>28</v>
      </c>
      <c r="Q2287" s="1" t="s">
        <v>16</v>
      </c>
      <c r="R2287" s="1" t="str">
        <f>IF(N2287="","",VLOOKUP(N2287,Prior_levels,2,TRUE))</f>
        <v>M</v>
      </c>
    </row>
    <row r="2288" spans="1:18" x14ac:dyDescent="0.2">
      <c r="A2288" s="1" t="s">
        <v>247</v>
      </c>
      <c r="B2288" s="1" t="s">
        <v>10</v>
      </c>
      <c r="C2288" s="2">
        <v>41155</v>
      </c>
      <c r="D2288" s="1">
        <v>10</v>
      </c>
      <c r="E2288" s="1" t="s">
        <v>11</v>
      </c>
      <c r="H2288" s="1" t="s">
        <v>54</v>
      </c>
      <c r="I2288" s="1" t="s">
        <v>12</v>
      </c>
      <c r="J2288" s="1" t="s">
        <v>43</v>
      </c>
      <c r="K2288" s="1" t="s">
        <v>14</v>
      </c>
      <c r="L2288" s="1" t="s">
        <v>12</v>
      </c>
      <c r="M2288" s="1" t="s">
        <v>12</v>
      </c>
      <c r="N2288" s="1">
        <v>24.12</v>
      </c>
      <c r="O2288" s="1" t="s">
        <v>31</v>
      </c>
      <c r="P2288" s="1" t="s">
        <v>28</v>
      </c>
      <c r="Q2288" s="1" t="s">
        <v>16</v>
      </c>
      <c r="R2288" s="1" t="str">
        <f>IF(N2288="","",VLOOKUP(N2288,Prior_levels,2,TRUE))</f>
        <v>M</v>
      </c>
    </row>
    <row r="2289" spans="1:18" x14ac:dyDescent="0.2">
      <c r="A2289" s="1" t="s">
        <v>247</v>
      </c>
      <c r="B2289" s="1" t="s">
        <v>10</v>
      </c>
      <c r="C2289" s="2">
        <v>41155</v>
      </c>
      <c r="D2289" s="1">
        <v>10</v>
      </c>
      <c r="E2289" s="1" t="s">
        <v>11</v>
      </c>
      <c r="H2289" s="1" t="s">
        <v>54</v>
      </c>
      <c r="I2289" s="1" t="s">
        <v>12</v>
      </c>
      <c r="J2289" s="1" t="s">
        <v>43</v>
      </c>
      <c r="K2289" s="1" t="s">
        <v>14</v>
      </c>
      <c r="L2289" s="1" t="s">
        <v>12</v>
      </c>
      <c r="M2289" s="1" t="s">
        <v>12</v>
      </c>
      <c r="N2289" s="1">
        <v>24.12</v>
      </c>
      <c r="O2289" s="1" t="s">
        <v>32</v>
      </c>
      <c r="P2289" s="1" t="s">
        <v>28</v>
      </c>
      <c r="Q2289" s="1" t="s">
        <v>16</v>
      </c>
      <c r="R2289" s="1" t="str">
        <f>IF(N2289="","",VLOOKUP(N2289,Prior_levels,2,TRUE))</f>
        <v>M</v>
      </c>
    </row>
    <row r="2290" spans="1:18" x14ac:dyDescent="0.2">
      <c r="A2290" s="1" t="s">
        <v>248</v>
      </c>
      <c r="B2290" s="1" t="s">
        <v>10</v>
      </c>
      <c r="C2290" s="2">
        <v>41155</v>
      </c>
      <c r="D2290" s="1">
        <v>10</v>
      </c>
      <c r="E2290" s="1" t="s">
        <v>39</v>
      </c>
      <c r="H2290" s="1" t="s">
        <v>54</v>
      </c>
      <c r="I2290" s="1" t="s">
        <v>12</v>
      </c>
      <c r="J2290" s="1" t="s">
        <v>40</v>
      </c>
      <c r="K2290" s="1" t="s">
        <v>14</v>
      </c>
      <c r="L2290" s="1" t="s">
        <v>12</v>
      </c>
      <c r="M2290" s="1" t="s">
        <v>12</v>
      </c>
      <c r="N2290" s="1">
        <v>27.12</v>
      </c>
      <c r="O2290" s="1" t="s">
        <v>15</v>
      </c>
      <c r="P2290" s="1">
        <v>5.25</v>
      </c>
      <c r="Q2290" s="1" t="s">
        <v>16</v>
      </c>
      <c r="R2290" s="1" t="str">
        <f>IF(N2290="","",VLOOKUP(N2290,Prior_levels,2,TRUE))</f>
        <v>M</v>
      </c>
    </row>
    <row r="2291" spans="1:18" x14ac:dyDescent="0.2">
      <c r="A2291" s="1" t="s">
        <v>248</v>
      </c>
      <c r="B2291" s="1" t="s">
        <v>10</v>
      </c>
      <c r="C2291" s="2">
        <v>41155</v>
      </c>
      <c r="D2291" s="1">
        <v>10</v>
      </c>
      <c r="E2291" s="1" t="s">
        <v>39</v>
      </c>
      <c r="H2291" s="1" t="s">
        <v>54</v>
      </c>
      <c r="I2291" s="1" t="s">
        <v>12</v>
      </c>
      <c r="J2291" s="1" t="s">
        <v>40</v>
      </c>
      <c r="K2291" s="1" t="s">
        <v>14</v>
      </c>
      <c r="L2291" s="1" t="s">
        <v>12</v>
      </c>
      <c r="M2291" s="1" t="s">
        <v>12</v>
      </c>
      <c r="N2291" s="1">
        <v>27.12</v>
      </c>
      <c r="O2291" s="1" t="s">
        <v>17</v>
      </c>
      <c r="P2291" s="1">
        <v>0.7</v>
      </c>
      <c r="Q2291" s="1" t="s">
        <v>16</v>
      </c>
      <c r="R2291" s="1" t="str">
        <f>IF(N2291="","",VLOOKUP(N2291,Prior_levels,2,TRUE))</f>
        <v>M</v>
      </c>
    </row>
    <row r="2292" spans="1:18" x14ac:dyDescent="0.2">
      <c r="A2292" s="1" t="s">
        <v>248</v>
      </c>
      <c r="B2292" s="1" t="s">
        <v>10</v>
      </c>
      <c r="C2292" s="2">
        <v>41155</v>
      </c>
      <c r="D2292" s="1">
        <v>10</v>
      </c>
      <c r="E2292" s="1" t="s">
        <v>39</v>
      </c>
      <c r="H2292" s="1" t="s">
        <v>54</v>
      </c>
      <c r="I2292" s="1" t="s">
        <v>12</v>
      </c>
      <c r="J2292" s="1" t="s">
        <v>40</v>
      </c>
      <c r="K2292" s="1" t="s">
        <v>14</v>
      </c>
      <c r="L2292" s="1" t="s">
        <v>12</v>
      </c>
      <c r="M2292" s="1" t="s">
        <v>12</v>
      </c>
      <c r="N2292" s="1">
        <v>27.12</v>
      </c>
      <c r="O2292" s="1" t="s">
        <v>18</v>
      </c>
      <c r="P2292" s="1">
        <v>12</v>
      </c>
      <c r="Q2292" s="1" t="s">
        <v>16</v>
      </c>
      <c r="R2292" s="1" t="str">
        <f>IF(N2292="","",VLOOKUP(N2292,Prior_levels,2,TRUE))</f>
        <v>M</v>
      </c>
    </row>
    <row r="2293" spans="1:18" x14ac:dyDescent="0.2">
      <c r="A2293" s="1" t="s">
        <v>248</v>
      </c>
      <c r="B2293" s="1" t="s">
        <v>10</v>
      </c>
      <c r="C2293" s="2">
        <v>41155</v>
      </c>
      <c r="D2293" s="1">
        <v>10</v>
      </c>
      <c r="E2293" s="1" t="s">
        <v>39</v>
      </c>
      <c r="H2293" s="1" t="s">
        <v>54</v>
      </c>
      <c r="I2293" s="1" t="s">
        <v>12</v>
      </c>
      <c r="J2293" s="1" t="s">
        <v>40</v>
      </c>
      <c r="K2293" s="1" t="s">
        <v>14</v>
      </c>
      <c r="L2293" s="1" t="s">
        <v>12</v>
      </c>
      <c r="M2293" s="1" t="s">
        <v>12</v>
      </c>
      <c r="N2293" s="1">
        <v>27.12</v>
      </c>
      <c r="O2293" s="1" t="s">
        <v>19</v>
      </c>
      <c r="P2293" s="1">
        <v>10</v>
      </c>
      <c r="Q2293" s="1" t="s">
        <v>16</v>
      </c>
      <c r="R2293" s="1" t="str">
        <f>IF(N2293="","",VLOOKUP(N2293,Prior_levels,2,TRUE))</f>
        <v>M</v>
      </c>
    </row>
    <row r="2294" spans="1:18" x14ac:dyDescent="0.2">
      <c r="A2294" s="1" t="s">
        <v>248</v>
      </c>
      <c r="B2294" s="1" t="s">
        <v>10</v>
      </c>
      <c r="C2294" s="2">
        <v>41155</v>
      </c>
      <c r="D2294" s="1">
        <v>10</v>
      </c>
      <c r="E2294" s="1" t="s">
        <v>39</v>
      </c>
      <c r="H2294" s="1" t="s">
        <v>54</v>
      </c>
      <c r="I2294" s="1" t="s">
        <v>12</v>
      </c>
      <c r="J2294" s="1" t="s">
        <v>40</v>
      </c>
      <c r="K2294" s="1" t="s">
        <v>14</v>
      </c>
      <c r="L2294" s="1" t="s">
        <v>12</v>
      </c>
      <c r="M2294" s="1" t="s">
        <v>12</v>
      </c>
      <c r="N2294" s="1">
        <v>27.12</v>
      </c>
      <c r="O2294" s="1" t="s">
        <v>20</v>
      </c>
      <c r="P2294" s="1">
        <v>13.5</v>
      </c>
      <c r="Q2294" s="1" t="s">
        <v>16</v>
      </c>
      <c r="R2294" s="1" t="str">
        <f>IF(N2294="","",VLOOKUP(N2294,Prior_levels,2,TRUE))</f>
        <v>M</v>
      </c>
    </row>
    <row r="2295" spans="1:18" x14ac:dyDescent="0.2">
      <c r="A2295" s="1" t="s">
        <v>248</v>
      </c>
      <c r="B2295" s="1" t="s">
        <v>10</v>
      </c>
      <c r="C2295" s="2">
        <v>41155</v>
      </c>
      <c r="D2295" s="1">
        <v>10</v>
      </c>
      <c r="E2295" s="1" t="s">
        <v>39</v>
      </c>
      <c r="H2295" s="1" t="s">
        <v>54</v>
      </c>
      <c r="I2295" s="1" t="s">
        <v>12</v>
      </c>
      <c r="J2295" s="1" t="s">
        <v>40</v>
      </c>
      <c r="K2295" s="1" t="s">
        <v>14</v>
      </c>
      <c r="L2295" s="1" t="s">
        <v>12</v>
      </c>
      <c r="M2295" s="1" t="s">
        <v>12</v>
      </c>
      <c r="N2295" s="1">
        <v>27.12</v>
      </c>
      <c r="O2295" s="1" t="s">
        <v>21</v>
      </c>
      <c r="P2295" s="1">
        <v>17</v>
      </c>
      <c r="Q2295" s="1" t="s">
        <v>16</v>
      </c>
      <c r="R2295" s="1" t="str">
        <f>IF(N2295="","",VLOOKUP(N2295,Prior_levels,2,TRUE))</f>
        <v>M</v>
      </c>
    </row>
    <row r="2296" spans="1:18" x14ac:dyDescent="0.2">
      <c r="A2296" s="1" t="s">
        <v>248</v>
      </c>
      <c r="B2296" s="1" t="s">
        <v>10</v>
      </c>
      <c r="C2296" s="2">
        <v>41155</v>
      </c>
      <c r="D2296" s="1">
        <v>10</v>
      </c>
      <c r="E2296" s="1" t="s">
        <v>39</v>
      </c>
      <c r="H2296" s="1" t="s">
        <v>54</v>
      </c>
      <c r="I2296" s="1" t="s">
        <v>12</v>
      </c>
      <c r="J2296" s="1" t="s">
        <v>40</v>
      </c>
      <c r="K2296" s="1" t="s">
        <v>14</v>
      </c>
      <c r="L2296" s="1" t="s">
        <v>12</v>
      </c>
      <c r="M2296" s="1" t="s">
        <v>12</v>
      </c>
      <c r="N2296" s="1">
        <v>27.12</v>
      </c>
      <c r="O2296" s="1" t="s">
        <v>22</v>
      </c>
      <c r="P2296" s="1">
        <v>0.95</v>
      </c>
      <c r="Q2296" s="1" t="s">
        <v>16</v>
      </c>
      <c r="R2296" s="1" t="str">
        <f>IF(N2296="","",VLOOKUP(N2296,Prior_levels,2,TRUE))</f>
        <v>M</v>
      </c>
    </row>
    <row r="2297" spans="1:18" x14ac:dyDescent="0.2">
      <c r="A2297" s="1" t="s">
        <v>248</v>
      </c>
      <c r="B2297" s="1" t="s">
        <v>10</v>
      </c>
      <c r="C2297" s="2">
        <v>41155</v>
      </c>
      <c r="D2297" s="1">
        <v>10</v>
      </c>
      <c r="E2297" s="1" t="s">
        <v>39</v>
      </c>
      <c r="H2297" s="1" t="s">
        <v>54</v>
      </c>
      <c r="I2297" s="1" t="s">
        <v>12</v>
      </c>
      <c r="J2297" s="1" t="s">
        <v>40</v>
      </c>
      <c r="K2297" s="1" t="s">
        <v>14</v>
      </c>
      <c r="L2297" s="1" t="s">
        <v>12</v>
      </c>
      <c r="M2297" s="1" t="s">
        <v>12</v>
      </c>
      <c r="N2297" s="1">
        <v>27.12</v>
      </c>
      <c r="O2297" s="1" t="s">
        <v>23</v>
      </c>
      <c r="P2297" s="1">
        <v>0.36</v>
      </c>
      <c r="Q2297" s="1" t="s">
        <v>16</v>
      </c>
      <c r="R2297" s="1" t="str">
        <f>IF(N2297="","",VLOOKUP(N2297,Prior_levels,2,TRUE))</f>
        <v>M</v>
      </c>
    </row>
    <row r="2298" spans="1:18" x14ac:dyDescent="0.2">
      <c r="A2298" s="1" t="s">
        <v>248</v>
      </c>
      <c r="B2298" s="1" t="s">
        <v>10</v>
      </c>
      <c r="C2298" s="2">
        <v>41155</v>
      </c>
      <c r="D2298" s="1">
        <v>10</v>
      </c>
      <c r="E2298" s="1" t="s">
        <v>39</v>
      </c>
      <c r="H2298" s="1" t="s">
        <v>54</v>
      </c>
      <c r="I2298" s="1" t="s">
        <v>12</v>
      </c>
      <c r="J2298" s="1" t="s">
        <v>40</v>
      </c>
      <c r="K2298" s="1" t="s">
        <v>14</v>
      </c>
      <c r="L2298" s="1" t="s">
        <v>12</v>
      </c>
      <c r="M2298" s="1" t="s">
        <v>12</v>
      </c>
      <c r="N2298" s="1">
        <v>27.12</v>
      </c>
      <c r="O2298" s="1" t="s">
        <v>25</v>
      </c>
      <c r="P2298" s="1">
        <v>2.11</v>
      </c>
      <c r="Q2298" s="1" t="s">
        <v>16</v>
      </c>
      <c r="R2298" s="1" t="str">
        <f>IF(N2298="","",VLOOKUP(N2298,Prior_levels,2,TRUE))</f>
        <v>M</v>
      </c>
    </row>
    <row r="2299" spans="1:18" x14ac:dyDescent="0.2">
      <c r="A2299" s="1" t="s">
        <v>248</v>
      </c>
      <c r="B2299" s="1" t="s">
        <v>10</v>
      </c>
      <c r="C2299" s="2">
        <v>41155</v>
      </c>
      <c r="D2299" s="1">
        <v>10</v>
      </c>
      <c r="E2299" s="1" t="s">
        <v>39</v>
      </c>
      <c r="H2299" s="1" t="s">
        <v>54</v>
      </c>
      <c r="I2299" s="1" t="s">
        <v>12</v>
      </c>
      <c r="J2299" s="1" t="s">
        <v>40</v>
      </c>
      <c r="K2299" s="1" t="s">
        <v>14</v>
      </c>
      <c r="L2299" s="1" t="s">
        <v>12</v>
      </c>
      <c r="M2299" s="1" t="s">
        <v>12</v>
      </c>
      <c r="N2299" s="1">
        <v>27.12</v>
      </c>
      <c r="O2299" s="1" t="s">
        <v>26</v>
      </c>
      <c r="P2299" s="1">
        <v>8</v>
      </c>
      <c r="Q2299" s="1" t="s">
        <v>16</v>
      </c>
      <c r="R2299" s="1" t="str">
        <f>IF(N2299="","",VLOOKUP(N2299,Prior_levels,2,TRUE))</f>
        <v>M</v>
      </c>
    </row>
    <row r="2300" spans="1:18" x14ac:dyDescent="0.2">
      <c r="A2300" s="1" t="s">
        <v>248</v>
      </c>
      <c r="B2300" s="1" t="s">
        <v>10</v>
      </c>
      <c r="C2300" s="2">
        <v>41155</v>
      </c>
      <c r="D2300" s="1">
        <v>10</v>
      </c>
      <c r="E2300" s="1" t="s">
        <v>39</v>
      </c>
      <c r="H2300" s="1" t="s">
        <v>54</v>
      </c>
      <c r="I2300" s="1" t="s">
        <v>12</v>
      </c>
      <c r="J2300" s="1" t="s">
        <v>40</v>
      </c>
      <c r="K2300" s="1" t="s">
        <v>14</v>
      </c>
      <c r="L2300" s="1" t="s">
        <v>12</v>
      </c>
      <c r="M2300" s="1" t="s">
        <v>12</v>
      </c>
      <c r="N2300" s="1">
        <v>27.12</v>
      </c>
      <c r="O2300" s="1" t="s">
        <v>24</v>
      </c>
      <c r="P2300" s="1">
        <v>2.25</v>
      </c>
      <c r="Q2300" s="1" t="s">
        <v>16</v>
      </c>
      <c r="R2300" s="1" t="str">
        <f>IF(N2300="","",VLOOKUP(N2300,Prior_levels,2,TRUE))</f>
        <v>M</v>
      </c>
    </row>
    <row r="2301" spans="1:18" x14ac:dyDescent="0.2">
      <c r="A2301" s="1" t="s">
        <v>248</v>
      </c>
      <c r="B2301" s="1" t="s">
        <v>10</v>
      </c>
      <c r="C2301" s="2">
        <v>41155</v>
      </c>
      <c r="D2301" s="1">
        <v>10</v>
      </c>
      <c r="E2301" s="1" t="s">
        <v>39</v>
      </c>
      <c r="H2301" s="1" t="s">
        <v>54</v>
      </c>
      <c r="I2301" s="1" t="s">
        <v>12</v>
      </c>
      <c r="J2301" s="1" t="s">
        <v>40</v>
      </c>
      <c r="K2301" s="1" t="s">
        <v>14</v>
      </c>
      <c r="L2301" s="1" t="s">
        <v>12</v>
      </c>
      <c r="M2301" s="1" t="s">
        <v>12</v>
      </c>
      <c r="N2301" s="1">
        <v>27.12</v>
      </c>
      <c r="O2301" s="1" t="s">
        <v>32</v>
      </c>
      <c r="P2301" s="1" t="s">
        <v>37</v>
      </c>
      <c r="Q2301" s="1" t="s">
        <v>16</v>
      </c>
      <c r="R2301" s="1" t="str">
        <f>IF(N2301="","",VLOOKUP(N2301,Prior_levels,2,TRUE))</f>
        <v>M</v>
      </c>
    </row>
    <row r="2302" spans="1:18" x14ac:dyDescent="0.2">
      <c r="A2302" s="1" t="s">
        <v>248</v>
      </c>
      <c r="B2302" s="1" t="s">
        <v>10</v>
      </c>
      <c r="C2302" s="2">
        <v>41155</v>
      </c>
      <c r="D2302" s="1">
        <v>10</v>
      </c>
      <c r="E2302" s="1" t="s">
        <v>39</v>
      </c>
      <c r="H2302" s="1" t="s">
        <v>54</v>
      </c>
      <c r="I2302" s="1" t="s">
        <v>12</v>
      </c>
      <c r="J2302" s="1" t="s">
        <v>40</v>
      </c>
      <c r="K2302" s="1" t="s">
        <v>14</v>
      </c>
      <c r="L2302" s="1" t="s">
        <v>12</v>
      </c>
      <c r="M2302" s="1" t="s">
        <v>12</v>
      </c>
      <c r="N2302" s="1">
        <v>27.12</v>
      </c>
      <c r="O2302" s="1" t="s">
        <v>27</v>
      </c>
      <c r="P2302" s="1" t="s">
        <v>37</v>
      </c>
      <c r="Q2302" s="1" t="s">
        <v>16</v>
      </c>
      <c r="R2302" s="1" t="str">
        <f>IF(N2302="","",VLOOKUP(N2302,Prior_levels,2,TRUE))</f>
        <v>M</v>
      </c>
    </row>
    <row r="2303" spans="1:18" x14ac:dyDescent="0.2">
      <c r="A2303" s="1" t="s">
        <v>248</v>
      </c>
      <c r="B2303" s="1" t="s">
        <v>10</v>
      </c>
      <c r="C2303" s="2">
        <v>41155</v>
      </c>
      <c r="D2303" s="1">
        <v>10</v>
      </c>
      <c r="E2303" s="1" t="s">
        <v>39</v>
      </c>
      <c r="H2303" s="1" t="s">
        <v>54</v>
      </c>
      <c r="I2303" s="1" t="s">
        <v>12</v>
      </c>
      <c r="J2303" s="1" t="s">
        <v>40</v>
      </c>
      <c r="K2303" s="1" t="s">
        <v>14</v>
      </c>
      <c r="L2303" s="1" t="s">
        <v>12</v>
      </c>
      <c r="M2303" s="1" t="s">
        <v>12</v>
      </c>
      <c r="N2303" s="1">
        <v>27.12</v>
      </c>
      <c r="O2303" s="1" t="s">
        <v>29</v>
      </c>
      <c r="P2303" s="1" t="s">
        <v>37</v>
      </c>
      <c r="Q2303" s="1" t="s">
        <v>16</v>
      </c>
      <c r="R2303" s="1" t="str">
        <f>IF(N2303="","",VLOOKUP(N2303,Prior_levels,2,TRUE))</f>
        <v>M</v>
      </c>
    </row>
    <row r="2304" spans="1:18" x14ac:dyDescent="0.2">
      <c r="A2304" s="1" t="s">
        <v>248</v>
      </c>
      <c r="B2304" s="1" t="s">
        <v>10</v>
      </c>
      <c r="C2304" s="2">
        <v>41155</v>
      </c>
      <c r="D2304" s="1">
        <v>10</v>
      </c>
      <c r="E2304" s="1" t="s">
        <v>39</v>
      </c>
      <c r="H2304" s="1" t="s">
        <v>54</v>
      </c>
      <c r="I2304" s="1" t="s">
        <v>12</v>
      </c>
      <c r="J2304" s="1" t="s">
        <v>40</v>
      </c>
      <c r="K2304" s="1" t="s">
        <v>14</v>
      </c>
      <c r="L2304" s="1" t="s">
        <v>12</v>
      </c>
      <c r="M2304" s="1" t="s">
        <v>12</v>
      </c>
      <c r="N2304" s="1">
        <v>27.12</v>
      </c>
      <c r="O2304" s="1" t="s">
        <v>30</v>
      </c>
      <c r="P2304" s="1" t="s">
        <v>37</v>
      </c>
      <c r="Q2304" s="1" t="s">
        <v>16</v>
      </c>
      <c r="R2304" s="1" t="str">
        <f>IF(N2304="","",VLOOKUP(N2304,Prior_levels,2,TRUE))</f>
        <v>M</v>
      </c>
    </row>
    <row r="2305" spans="1:18" x14ac:dyDescent="0.2">
      <c r="A2305" s="1" t="s">
        <v>248</v>
      </c>
      <c r="B2305" s="1" t="s">
        <v>10</v>
      </c>
      <c r="C2305" s="2">
        <v>41155</v>
      </c>
      <c r="D2305" s="1">
        <v>10</v>
      </c>
      <c r="E2305" s="1" t="s">
        <v>39</v>
      </c>
      <c r="H2305" s="1" t="s">
        <v>54</v>
      </c>
      <c r="I2305" s="1" t="s">
        <v>12</v>
      </c>
      <c r="J2305" s="1" t="s">
        <v>40</v>
      </c>
      <c r="K2305" s="1" t="s">
        <v>14</v>
      </c>
      <c r="L2305" s="1" t="s">
        <v>12</v>
      </c>
      <c r="M2305" s="1" t="s">
        <v>12</v>
      </c>
      <c r="N2305" s="1">
        <v>27.12</v>
      </c>
      <c r="O2305" s="1" t="s">
        <v>31</v>
      </c>
      <c r="P2305" s="1" t="s">
        <v>28</v>
      </c>
      <c r="Q2305" s="1" t="s">
        <v>16</v>
      </c>
      <c r="R2305" s="1" t="str">
        <f>IF(N2305="","",VLOOKUP(N2305,Prior_levels,2,TRUE))</f>
        <v>M</v>
      </c>
    </row>
    <row r="2306" spans="1:18" x14ac:dyDescent="0.2">
      <c r="A2306" s="1" t="s">
        <v>249</v>
      </c>
      <c r="B2306" s="1" t="s">
        <v>12</v>
      </c>
      <c r="C2306" s="2">
        <v>41155</v>
      </c>
      <c r="D2306" s="1">
        <v>10</v>
      </c>
      <c r="E2306" s="1" t="s">
        <v>47</v>
      </c>
      <c r="H2306" s="1" t="s">
        <v>54</v>
      </c>
      <c r="I2306" s="1" t="s">
        <v>12</v>
      </c>
      <c r="J2306" s="1" t="s">
        <v>250</v>
      </c>
      <c r="K2306" s="1" t="s">
        <v>14</v>
      </c>
      <c r="L2306" s="1" t="s">
        <v>12</v>
      </c>
      <c r="M2306" s="1" t="s">
        <v>12</v>
      </c>
      <c r="N2306" s="1">
        <v>27.12</v>
      </c>
      <c r="O2306" s="1" t="s">
        <v>15</v>
      </c>
      <c r="P2306" s="1">
        <v>4.5</v>
      </c>
      <c r="Q2306" s="1" t="s">
        <v>16</v>
      </c>
      <c r="R2306" s="1" t="str">
        <f>IF(N2306="","",VLOOKUP(N2306,Prior_levels,2,TRUE))</f>
        <v>M</v>
      </c>
    </row>
    <row r="2307" spans="1:18" x14ac:dyDescent="0.2">
      <c r="A2307" s="1" t="s">
        <v>249</v>
      </c>
      <c r="B2307" s="1" t="s">
        <v>12</v>
      </c>
      <c r="C2307" s="2">
        <v>41155</v>
      </c>
      <c r="D2307" s="1">
        <v>10</v>
      </c>
      <c r="E2307" s="1" t="s">
        <v>47</v>
      </c>
      <c r="H2307" s="1" t="s">
        <v>54</v>
      </c>
      <c r="I2307" s="1" t="s">
        <v>12</v>
      </c>
      <c r="J2307" s="1" t="s">
        <v>250</v>
      </c>
      <c r="K2307" s="1" t="s">
        <v>14</v>
      </c>
      <c r="L2307" s="1" t="s">
        <v>12</v>
      </c>
      <c r="M2307" s="1" t="s">
        <v>12</v>
      </c>
      <c r="N2307" s="1">
        <v>27.12</v>
      </c>
      <c r="O2307" s="1" t="s">
        <v>17</v>
      </c>
      <c r="P2307" s="1">
        <v>-0.05</v>
      </c>
      <c r="Q2307" s="1" t="s">
        <v>16</v>
      </c>
      <c r="R2307" s="1" t="str">
        <f>IF(N2307="","",VLOOKUP(N2307,Prior_levels,2,TRUE))</f>
        <v>M</v>
      </c>
    </row>
    <row r="2308" spans="1:18" x14ac:dyDescent="0.2">
      <c r="A2308" s="1" t="s">
        <v>249</v>
      </c>
      <c r="B2308" s="1" t="s">
        <v>12</v>
      </c>
      <c r="C2308" s="2">
        <v>41155</v>
      </c>
      <c r="D2308" s="1">
        <v>10</v>
      </c>
      <c r="E2308" s="1" t="s">
        <v>47</v>
      </c>
      <c r="H2308" s="1" t="s">
        <v>54</v>
      </c>
      <c r="I2308" s="1" t="s">
        <v>12</v>
      </c>
      <c r="J2308" s="1" t="s">
        <v>250</v>
      </c>
      <c r="K2308" s="1" t="s">
        <v>14</v>
      </c>
      <c r="L2308" s="1" t="s">
        <v>12</v>
      </c>
      <c r="M2308" s="1" t="s">
        <v>12</v>
      </c>
      <c r="N2308" s="1">
        <v>27.12</v>
      </c>
      <c r="O2308" s="1" t="s">
        <v>18</v>
      </c>
      <c r="P2308" s="1">
        <v>10</v>
      </c>
      <c r="Q2308" s="1" t="s">
        <v>16</v>
      </c>
      <c r="R2308" s="1" t="str">
        <f>IF(N2308="","",VLOOKUP(N2308,Prior_levels,2,TRUE))</f>
        <v>M</v>
      </c>
    </row>
    <row r="2309" spans="1:18" x14ac:dyDescent="0.2">
      <c r="A2309" s="1" t="s">
        <v>249</v>
      </c>
      <c r="B2309" s="1" t="s">
        <v>12</v>
      </c>
      <c r="C2309" s="2">
        <v>41155</v>
      </c>
      <c r="D2309" s="1">
        <v>10</v>
      </c>
      <c r="E2309" s="1" t="s">
        <v>47</v>
      </c>
      <c r="H2309" s="1" t="s">
        <v>54</v>
      </c>
      <c r="I2309" s="1" t="s">
        <v>12</v>
      </c>
      <c r="J2309" s="1" t="s">
        <v>250</v>
      </c>
      <c r="K2309" s="1" t="s">
        <v>14</v>
      </c>
      <c r="L2309" s="1" t="s">
        <v>12</v>
      </c>
      <c r="M2309" s="1" t="s">
        <v>12</v>
      </c>
      <c r="N2309" s="1">
        <v>27.12</v>
      </c>
      <c r="O2309" s="1" t="s">
        <v>19</v>
      </c>
      <c r="P2309" s="1">
        <v>10</v>
      </c>
      <c r="Q2309" s="1" t="s">
        <v>16</v>
      </c>
      <c r="R2309" s="1" t="str">
        <f>IF(N2309="","",VLOOKUP(N2309,Prior_levels,2,TRUE))</f>
        <v>M</v>
      </c>
    </row>
    <row r="2310" spans="1:18" x14ac:dyDescent="0.2">
      <c r="A2310" s="1" t="s">
        <v>249</v>
      </c>
      <c r="B2310" s="1" t="s">
        <v>12</v>
      </c>
      <c r="C2310" s="2">
        <v>41155</v>
      </c>
      <c r="D2310" s="1">
        <v>10</v>
      </c>
      <c r="E2310" s="1" t="s">
        <v>47</v>
      </c>
      <c r="H2310" s="1" t="s">
        <v>54</v>
      </c>
      <c r="I2310" s="1" t="s">
        <v>12</v>
      </c>
      <c r="J2310" s="1" t="s">
        <v>250</v>
      </c>
      <c r="K2310" s="1" t="s">
        <v>14</v>
      </c>
      <c r="L2310" s="1" t="s">
        <v>12</v>
      </c>
      <c r="M2310" s="1" t="s">
        <v>12</v>
      </c>
      <c r="N2310" s="1">
        <v>27.12</v>
      </c>
      <c r="O2310" s="1" t="s">
        <v>20</v>
      </c>
      <c r="P2310" s="1">
        <v>12</v>
      </c>
      <c r="Q2310" s="1" t="s">
        <v>16</v>
      </c>
      <c r="R2310" s="1" t="str">
        <f>IF(N2310="","",VLOOKUP(N2310,Prior_levels,2,TRUE))</f>
        <v>M</v>
      </c>
    </row>
    <row r="2311" spans="1:18" x14ac:dyDescent="0.2">
      <c r="A2311" s="1" t="s">
        <v>249</v>
      </c>
      <c r="B2311" s="1" t="s">
        <v>12</v>
      </c>
      <c r="C2311" s="2">
        <v>41155</v>
      </c>
      <c r="D2311" s="1">
        <v>10</v>
      </c>
      <c r="E2311" s="1" t="s">
        <v>47</v>
      </c>
      <c r="H2311" s="1" t="s">
        <v>54</v>
      </c>
      <c r="I2311" s="1" t="s">
        <v>12</v>
      </c>
      <c r="J2311" s="1" t="s">
        <v>250</v>
      </c>
      <c r="K2311" s="1" t="s">
        <v>14</v>
      </c>
      <c r="L2311" s="1" t="s">
        <v>12</v>
      </c>
      <c r="M2311" s="1" t="s">
        <v>12</v>
      </c>
      <c r="N2311" s="1">
        <v>27.12</v>
      </c>
      <c r="O2311" s="1" t="s">
        <v>21</v>
      </c>
      <c r="P2311" s="1">
        <v>13</v>
      </c>
      <c r="Q2311" s="1" t="s">
        <v>16</v>
      </c>
      <c r="R2311" s="1" t="str">
        <f>IF(N2311="","",VLOOKUP(N2311,Prior_levels,2,TRUE))</f>
        <v>M</v>
      </c>
    </row>
    <row r="2312" spans="1:18" x14ac:dyDescent="0.2">
      <c r="A2312" s="1" t="s">
        <v>249</v>
      </c>
      <c r="B2312" s="1" t="s">
        <v>12</v>
      </c>
      <c r="C2312" s="2">
        <v>41155</v>
      </c>
      <c r="D2312" s="1">
        <v>10</v>
      </c>
      <c r="E2312" s="1" t="s">
        <v>47</v>
      </c>
      <c r="H2312" s="1" t="s">
        <v>54</v>
      </c>
      <c r="I2312" s="1" t="s">
        <v>12</v>
      </c>
      <c r="J2312" s="1" t="s">
        <v>250</v>
      </c>
      <c r="K2312" s="1" t="s">
        <v>14</v>
      </c>
      <c r="L2312" s="1" t="s">
        <v>12</v>
      </c>
      <c r="M2312" s="1" t="s">
        <v>12</v>
      </c>
      <c r="N2312" s="1">
        <v>27.12</v>
      </c>
      <c r="O2312" s="1" t="s">
        <v>22</v>
      </c>
      <c r="P2312" s="1">
        <v>-0.05</v>
      </c>
      <c r="Q2312" s="1" t="s">
        <v>16</v>
      </c>
      <c r="R2312" s="1" t="str">
        <f>IF(N2312="","",VLOOKUP(N2312,Prior_levels,2,TRUE))</f>
        <v>M</v>
      </c>
    </row>
    <row r="2313" spans="1:18" x14ac:dyDescent="0.2">
      <c r="A2313" s="1" t="s">
        <v>249</v>
      </c>
      <c r="B2313" s="1" t="s">
        <v>12</v>
      </c>
      <c r="C2313" s="2">
        <v>41155</v>
      </c>
      <c r="D2313" s="1">
        <v>10</v>
      </c>
      <c r="E2313" s="1" t="s">
        <v>47</v>
      </c>
      <c r="H2313" s="1" t="s">
        <v>54</v>
      </c>
      <c r="I2313" s="1" t="s">
        <v>12</v>
      </c>
      <c r="J2313" s="1" t="s">
        <v>250</v>
      </c>
      <c r="K2313" s="1" t="s">
        <v>14</v>
      </c>
      <c r="L2313" s="1" t="s">
        <v>12</v>
      </c>
      <c r="M2313" s="1" t="s">
        <v>12</v>
      </c>
      <c r="N2313" s="1">
        <v>27.12</v>
      </c>
      <c r="O2313" s="1" t="s">
        <v>23</v>
      </c>
      <c r="P2313" s="1">
        <v>0.36</v>
      </c>
      <c r="Q2313" s="1" t="s">
        <v>16</v>
      </c>
      <c r="R2313" s="1" t="str">
        <f>IF(N2313="","",VLOOKUP(N2313,Prior_levels,2,TRUE))</f>
        <v>M</v>
      </c>
    </row>
    <row r="2314" spans="1:18" x14ac:dyDescent="0.2">
      <c r="A2314" s="1" t="s">
        <v>249</v>
      </c>
      <c r="B2314" s="1" t="s">
        <v>12</v>
      </c>
      <c r="C2314" s="2">
        <v>41155</v>
      </c>
      <c r="D2314" s="1">
        <v>10</v>
      </c>
      <c r="E2314" s="1" t="s">
        <v>47</v>
      </c>
      <c r="H2314" s="1" t="s">
        <v>54</v>
      </c>
      <c r="I2314" s="1" t="s">
        <v>12</v>
      </c>
      <c r="J2314" s="1" t="s">
        <v>250</v>
      </c>
      <c r="K2314" s="1" t="s">
        <v>14</v>
      </c>
      <c r="L2314" s="1" t="s">
        <v>12</v>
      </c>
      <c r="M2314" s="1" t="s">
        <v>12</v>
      </c>
      <c r="N2314" s="1">
        <v>27.12</v>
      </c>
      <c r="O2314" s="1" t="s">
        <v>24</v>
      </c>
      <c r="P2314" s="1">
        <v>0.75</v>
      </c>
      <c r="Q2314" s="1" t="s">
        <v>16</v>
      </c>
      <c r="R2314" s="1" t="str">
        <f>IF(N2314="","",VLOOKUP(N2314,Prior_levels,2,TRUE))</f>
        <v>M</v>
      </c>
    </row>
    <row r="2315" spans="1:18" x14ac:dyDescent="0.2">
      <c r="A2315" s="1" t="s">
        <v>249</v>
      </c>
      <c r="B2315" s="1" t="s">
        <v>12</v>
      </c>
      <c r="C2315" s="2">
        <v>41155</v>
      </c>
      <c r="D2315" s="1">
        <v>10</v>
      </c>
      <c r="E2315" s="1" t="s">
        <v>47</v>
      </c>
      <c r="H2315" s="1" t="s">
        <v>54</v>
      </c>
      <c r="I2315" s="1" t="s">
        <v>12</v>
      </c>
      <c r="J2315" s="1" t="s">
        <v>250</v>
      </c>
      <c r="K2315" s="1" t="s">
        <v>14</v>
      </c>
      <c r="L2315" s="1" t="s">
        <v>12</v>
      </c>
      <c r="M2315" s="1" t="s">
        <v>12</v>
      </c>
      <c r="N2315" s="1">
        <v>27.12</v>
      </c>
      <c r="O2315" s="1" t="s">
        <v>25</v>
      </c>
      <c r="P2315" s="1">
        <v>-1.89</v>
      </c>
      <c r="Q2315" s="1" t="s">
        <v>16</v>
      </c>
      <c r="R2315" s="1" t="str">
        <f>IF(N2315="","",VLOOKUP(N2315,Prior_levels,2,TRUE))</f>
        <v>M</v>
      </c>
    </row>
    <row r="2316" spans="1:18" x14ac:dyDescent="0.2">
      <c r="A2316" s="1" t="s">
        <v>249</v>
      </c>
      <c r="B2316" s="1" t="s">
        <v>12</v>
      </c>
      <c r="C2316" s="2">
        <v>41155</v>
      </c>
      <c r="D2316" s="1">
        <v>10</v>
      </c>
      <c r="E2316" s="1" t="s">
        <v>47</v>
      </c>
      <c r="H2316" s="1" t="s">
        <v>54</v>
      </c>
      <c r="I2316" s="1" t="s">
        <v>12</v>
      </c>
      <c r="J2316" s="1" t="s">
        <v>250</v>
      </c>
      <c r="K2316" s="1" t="s">
        <v>14</v>
      </c>
      <c r="L2316" s="1" t="s">
        <v>12</v>
      </c>
      <c r="M2316" s="1" t="s">
        <v>12</v>
      </c>
      <c r="N2316" s="1">
        <v>27.12</v>
      </c>
      <c r="O2316" s="1" t="s">
        <v>26</v>
      </c>
      <c r="P2316" s="1">
        <v>11</v>
      </c>
      <c r="Q2316" s="1" t="s">
        <v>16</v>
      </c>
      <c r="R2316" s="1" t="str">
        <f>IF(N2316="","",VLOOKUP(N2316,Prior_levels,2,TRUE))</f>
        <v>M</v>
      </c>
    </row>
    <row r="2317" spans="1:18" x14ac:dyDescent="0.2">
      <c r="A2317" s="1" t="s">
        <v>249</v>
      </c>
      <c r="B2317" s="1" t="s">
        <v>12</v>
      </c>
      <c r="C2317" s="2">
        <v>41155</v>
      </c>
      <c r="D2317" s="1">
        <v>10</v>
      </c>
      <c r="E2317" s="1" t="s">
        <v>47</v>
      </c>
      <c r="H2317" s="1" t="s">
        <v>54</v>
      </c>
      <c r="I2317" s="1" t="s">
        <v>12</v>
      </c>
      <c r="J2317" s="1" t="s">
        <v>250</v>
      </c>
      <c r="K2317" s="1" t="s">
        <v>14</v>
      </c>
      <c r="L2317" s="1" t="s">
        <v>12</v>
      </c>
      <c r="M2317" s="1" t="s">
        <v>12</v>
      </c>
      <c r="N2317" s="1">
        <v>27.12</v>
      </c>
      <c r="O2317" s="1" t="s">
        <v>32</v>
      </c>
      <c r="P2317" s="1" t="s">
        <v>37</v>
      </c>
      <c r="Q2317" s="1" t="s">
        <v>16</v>
      </c>
      <c r="R2317" s="1" t="str">
        <f>IF(N2317="","",VLOOKUP(N2317,Prior_levels,2,TRUE))</f>
        <v>M</v>
      </c>
    </row>
    <row r="2318" spans="1:18" x14ac:dyDescent="0.2">
      <c r="A2318" s="1" t="s">
        <v>249</v>
      </c>
      <c r="B2318" s="1" t="s">
        <v>12</v>
      </c>
      <c r="C2318" s="2">
        <v>41155</v>
      </c>
      <c r="D2318" s="1">
        <v>10</v>
      </c>
      <c r="E2318" s="1" t="s">
        <v>47</v>
      </c>
      <c r="H2318" s="1" t="s">
        <v>54</v>
      </c>
      <c r="I2318" s="1" t="s">
        <v>12</v>
      </c>
      <c r="J2318" s="1" t="s">
        <v>250</v>
      </c>
      <c r="K2318" s="1" t="s">
        <v>14</v>
      </c>
      <c r="L2318" s="1" t="s">
        <v>12</v>
      </c>
      <c r="M2318" s="1" t="s">
        <v>12</v>
      </c>
      <c r="N2318" s="1">
        <v>27.12</v>
      </c>
      <c r="O2318" s="1" t="s">
        <v>27</v>
      </c>
      <c r="P2318" s="1" t="s">
        <v>37</v>
      </c>
      <c r="Q2318" s="1" t="s">
        <v>16</v>
      </c>
      <c r="R2318" s="1" t="str">
        <f>IF(N2318="","",VLOOKUP(N2318,Prior_levels,2,TRUE))</f>
        <v>M</v>
      </c>
    </row>
    <row r="2319" spans="1:18" x14ac:dyDescent="0.2">
      <c r="A2319" s="1" t="s">
        <v>249</v>
      </c>
      <c r="B2319" s="1" t="s">
        <v>12</v>
      </c>
      <c r="C2319" s="2">
        <v>41155</v>
      </c>
      <c r="D2319" s="1">
        <v>10</v>
      </c>
      <c r="E2319" s="1" t="s">
        <v>47</v>
      </c>
      <c r="H2319" s="1" t="s">
        <v>54</v>
      </c>
      <c r="I2319" s="1" t="s">
        <v>12</v>
      </c>
      <c r="J2319" s="1" t="s">
        <v>250</v>
      </c>
      <c r="K2319" s="1" t="s">
        <v>14</v>
      </c>
      <c r="L2319" s="1" t="s">
        <v>12</v>
      </c>
      <c r="M2319" s="1" t="s">
        <v>12</v>
      </c>
      <c r="N2319" s="1">
        <v>27.12</v>
      </c>
      <c r="O2319" s="1" t="s">
        <v>29</v>
      </c>
      <c r="P2319" s="1" t="s">
        <v>37</v>
      </c>
      <c r="Q2319" s="1" t="s">
        <v>16</v>
      </c>
      <c r="R2319" s="1" t="str">
        <f>IF(N2319="","",VLOOKUP(N2319,Prior_levels,2,TRUE))</f>
        <v>M</v>
      </c>
    </row>
    <row r="2320" spans="1:18" x14ac:dyDescent="0.2">
      <c r="A2320" s="1" t="s">
        <v>249</v>
      </c>
      <c r="B2320" s="1" t="s">
        <v>12</v>
      </c>
      <c r="C2320" s="2">
        <v>41155</v>
      </c>
      <c r="D2320" s="1">
        <v>10</v>
      </c>
      <c r="E2320" s="1" t="s">
        <v>47</v>
      </c>
      <c r="H2320" s="1" t="s">
        <v>54</v>
      </c>
      <c r="I2320" s="1" t="s">
        <v>12</v>
      </c>
      <c r="J2320" s="1" t="s">
        <v>250</v>
      </c>
      <c r="K2320" s="1" t="s">
        <v>14</v>
      </c>
      <c r="L2320" s="1" t="s">
        <v>12</v>
      </c>
      <c r="M2320" s="1" t="s">
        <v>12</v>
      </c>
      <c r="N2320" s="1">
        <v>27.12</v>
      </c>
      <c r="O2320" s="1" t="s">
        <v>30</v>
      </c>
      <c r="P2320" s="1" t="s">
        <v>37</v>
      </c>
      <c r="Q2320" s="1" t="s">
        <v>16</v>
      </c>
      <c r="R2320" s="1" t="str">
        <f>IF(N2320="","",VLOOKUP(N2320,Prior_levels,2,TRUE))</f>
        <v>M</v>
      </c>
    </row>
    <row r="2321" spans="1:18" x14ac:dyDescent="0.2">
      <c r="A2321" s="1" t="s">
        <v>249</v>
      </c>
      <c r="B2321" s="1" t="s">
        <v>12</v>
      </c>
      <c r="C2321" s="2">
        <v>41155</v>
      </c>
      <c r="D2321" s="1">
        <v>10</v>
      </c>
      <c r="E2321" s="1" t="s">
        <v>47</v>
      </c>
      <c r="H2321" s="1" t="s">
        <v>54</v>
      </c>
      <c r="I2321" s="1" t="s">
        <v>12</v>
      </c>
      <c r="J2321" s="1" t="s">
        <v>250</v>
      </c>
      <c r="K2321" s="1" t="s">
        <v>14</v>
      </c>
      <c r="L2321" s="1" t="s">
        <v>12</v>
      </c>
      <c r="M2321" s="1" t="s">
        <v>12</v>
      </c>
      <c r="N2321" s="1">
        <v>27.12</v>
      </c>
      <c r="O2321" s="1" t="s">
        <v>31</v>
      </c>
      <c r="P2321" s="1" t="s">
        <v>37</v>
      </c>
      <c r="Q2321" s="1" t="s">
        <v>16</v>
      </c>
      <c r="R2321" s="1" t="str">
        <f>IF(N2321="","",VLOOKUP(N2321,Prior_levels,2,TRUE))</f>
        <v>M</v>
      </c>
    </row>
    <row r="2322" spans="1:18" x14ac:dyDescent="0.2">
      <c r="A2322" s="1" t="s">
        <v>251</v>
      </c>
      <c r="B2322" s="1" t="s">
        <v>12</v>
      </c>
      <c r="C2322" s="2">
        <v>41155</v>
      </c>
      <c r="D2322" s="1">
        <v>10</v>
      </c>
      <c r="E2322" s="1" t="s">
        <v>39</v>
      </c>
      <c r="H2322" s="1" t="s">
        <v>54</v>
      </c>
      <c r="I2322" s="1" t="s">
        <v>12</v>
      </c>
      <c r="J2322" s="1" t="s">
        <v>252</v>
      </c>
      <c r="K2322" s="1" t="s">
        <v>253</v>
      </c>
      <c r="L2322" s="1" t="s">
        <v>12</v>
      </c>
      <c r="M2322" s="1" t="s">
        <v>12</v>
      </c>
      <c r="N2322" s="1">
        <v>27.12</v>
      </c>
      <c r="O2322" s="1" t="s">
        <v>15</v>
      </c>
      <c r="P2322" s="1">
        <v>5.5</v>
      </c>
      <c r="Q2322" s="1" t="s">
        <v>16</v>
      </c>
      <c r="R2322" s="1" t="str">
        <f>IF(N2322="","",VLOOKUP(N2322,Prior_levels,2,TRUE))</f>
        <v>M</v>
      </c>
    </row>
    <row r="2323" spans="1:18" x14ac:dyDescent="0.2">
      <c r="A2323" s="1" t="s">
        <v>251</v>
      </c>
      <c r="B2323" s="1" t="s">
        <v>12</v>
      </c>
      <c r="C2323" s="2">
        <v>41155</v>
      </c>
      <c r="D2323" s="1">
        <v>10</v>
      </c>
      <c r="E2323" s="1" t="s">
        <v>39</v>
      </c>
      <c r="H2323" s="1" t="s">
        <v>54</v>
      </c>
      <c r="I2323" s="1" t="s">
        <v>12</v>
      </c>
      <c r="J2323" s="1" t="s">
        <v>252</v>
      </c>
      <c r="K2323" s="1" t="s">
        <v>253</v>
      </c>
      <c r="L2323" s="1" t="s">
        <v>12</v>
      </c>
      <c r="M2323" s="1" t="s">
        <v>12</v>
      </c>
      <c r="N2323" s="1">
        <v>27.12</v>
      </c>
      <c r="O2323" s="1" t="s">
        <v>17</v>
      </c>
      <c r="P2323" s="1">
        <v>0.95</v>
      </c>
      <c r="Q2323" s="1" t="s">
        <v>16</v>
      </c>
      <c r="R2323" s="1" t="str">
        <f>IF(N2323="","",VLOOKUP(N2323,Prior_levels,2,TRUE))</f>
        <v>M</v>
      </c>
    </row>
    <row r="2324" spans="1:18" x14ac:dyDescent="0.2">
      <c r="A2324" s="1" t="s">
        <v>251</v>
      </c>
      <c r="B2324" s="1" t="s">
        <v>12</v>
      </c>
      <c r="C2324" s="2">
        <v>41155</v>
      </c>
      <c r="D2324" s="1">
        <v>10</v>
      </c>
      <c r="E2324" s="1" t="s">
        <v>39</v>
      </c>
      <c r="H2324" s="1" t="s">
        <v>54</v>
      </c>
      <c r="I2324" s="1" t="s">
        <v>12</v>
      </c>
      <c r="J2324" s="1" t="s">
        <v>252</v>
      </c>
      <c r="K2324" s="1" t="s">
        <v>253</v>
      </c>
      <c r="L2324" s="1" t="s">
        <v>12</v>
      </c>
      <c r="M2324" s="1" t="s">
        <v>12</v>
      </c>
      <c r="N2324" s="1">
        <v>27.12</v>
      </c>
      <c r="O2324" s="1" t="s">
        <v>18</v>
      </c>
      <c r="P2324" s="1">
        <v>10</v>
      </c>
      <c r="Q2324" s="1" t="s">
        <v>16</v>
      </c>
      <c r="R2324" s="1" t="str">
        <f>IF(N2324="","",VLOOKUP(N2324,Prior_levels,2,TRUE))</f>
        <v>M</v>
      </c>
    </row>
    <row r="2325" spans="1:18" x14ac:dyDescent="0.2">
      <c r="A2325" s="1" t="s">
        <v>251</v>
      </c>
      <c r="B2325" s="1" t="s">
        <v>12</v>
      </c>
      <c r="C2325" s="2">
        <v>41155</v>
      </c>
      <c r="D2325" s="1">
        <v>10</v>
      </c>
      <c r="E2325" s="1" t="s">
        <v>39</v>
      </c>
      <c r="H2325" s="1" t="s">
        <v>54</v>
      </c>
      <c r="I2325" s="1" t="s">
        <v>12</v>
      </c>
      <c r="J2325" s="1" t="s">
        <v>252</v>
      </c>
      <c r="K2325" s="1" t="s">
        <v>253</v>
      </c>
      <c r="L2325" s="1" t="s">
        <v>12</v>
      </c>
      <c r="M2325" s="1" t="s">
        <v>12</v>
      </c>
      <c r="N2325" s="1">
        <v>27.12</v>
      </c>
      <c r="O2325" s="1" t="s">
        <v>19</v>
      </c>
      <c r="P2325" s="1">
        <v>12</v>
      </c>
      <c r="Q2325" s="1" t="s">
        <v>16</v>
      </c>
      <c r="R2325" s="1" t="str">
        <f>IF(N2325="","",VLOOKUP(N2325,Prior_levels,2,TRUE))</f>
        <v>M</v>
      </c>
    </row>
    <row r="2326" spans="1:18" x14ac:dyDescent="0.2">
      <c r="A2326" s="1" t="s">
        <v>251</v>
      </c>
      <c r="B2326" s="1" t="s">
        <v>12</v>
      </c>
      <c r="C2326" s="2">
        <v>41155</v>
      </c>
      <c r="D2326" s="1">
        <v>10</v>
      </c>
      <c r="E2326" s="1" t="s">
        <v>39</v>
      </c>
      <c r="H2326" s="1" t="s">
        <v>54</v>
      </c>
      <c r="I2326" s="1" t="s">
        <v>12</v>
      </c>
      <c r="J2326" s="1" t="s">
        <v>252</v>
      </c>
      <c r="K2326" s="1" t="s">
        <v>253</v>
      </c>
      <c r="L2326" s="1" t="s">
        <v>12</v>
      </c>
      <c r="M2326" s="1" t="s">
        <v>12</v>
      </c>
      <c r="N2326" s="1">
        <v>27.12</v>
      </c>
      <c r="O2326" s="1" t="s">
        <v>20</v>
      </c>
      <c r="P2326" s="1">
        <v>16.5</v>
      </c>
      <c r="Q2326" s="1" t="s">
        <v>16</v>
      </c>
      <c r="R2326" s="1" t="str">
        <f>IF(N2326="","",VLOOKUP(N2326,Prior_levels,2,TRUE))</f>
        <v>M</v>
      </c>
    </row>
    <row r="2327" spans="1:18" x14ac:dyDescent="0.2">
      <c r="A2327" s="1" t="s">
        <v>251</v>
      </c>
      <c r="B2327" s="1" t="s">
        <v>12</v>
      </c>
      <c r="C2327" s="2">
        <v>41155</v>
      </c>
      <c r="D2327" s="1">
        <v>10</v>
      </c>
      <c r="E2327" s="1" t="s">
        <v>39</v>
      </c>
      <c r="H2327" s="1" t="s">
        <v>54</v>
      </c>
      <c r="I2327" s="1" t="s">
        <v>12</v>
      </c>
      <c r="J2327" s="1" t="s">
        <v>252</v>
      </c>
      <c r="K2327" s="1" t="s">
        <v>253</v>
      </c>
      <c r="L2327" s="1" t="s">
        <v>12</v>
      </c>
      <c r="M2327" s="1" t="s">
        <v>12</v>
      </c>
      <c r="N2327" s="1">
        <v>27.12</v>
      </c>
      <c r="O2327" s="1" t="s">
        <v>21</v>
      </c>
      <c r="P2327" s="1">
        <v>16.5</v>
      </c>
      <c r="Q2327" s="1" t="s">
        <v>16</v>
      </c>
      <c r="R2327" s="1" t="str">
        <f>IF(N2327="","",VLOOKUP(N2327,Prior_levels,2,TRUE))</f>
        <v>M</v>
      </c>
    </row>
    <row r="2328" spans="1:18" x14ac:dyDescent="0.2">
      <c r="A2328" s="1" t="s">
        <v>251</v>
      </c>
      <c r="B2328" s="1" t="s">
        <v>12</v>
      </c>
      <c r="C2328" s="2">
        <v>41155</v>
      </c>
      <c r="D2328" s="1">
        <v>10</v>
      </c>
      <c r="E2328" s="1" t="s">
        <v>39</v>
      </c>
      <c r="H2328" s="1" t="s">
        <v>54</v>
      </c>
      <c r="I2328" s="1" t="s">
        <v>12</v>
      </c>
      <c r="J2328" s="1" t="s">
        <v>252</v>
      </c>
      <c r="K2328" s="1" t="s">
        <v>253</v>
      </c>
      <c r="L2328" s="1" t="s">
        <v>12</v>
      </c>
      <c r="M2328" s="1" t="s">
        <v>12</v>
      </c>
      <c r="N2328" s="1">
        <v>27.12</v>
      </c>
      <c r="O2328" s="1" t="s">
        <v>22</v>
      </c>
      <c r="P2328" s="1">
        <v>-0.05</v>
      </c>
      <c r="Q2328" s="1" t="s">
        <v>16</v>
      </c>
      <c r="R2328" s="1" t="str">
        <f>IF(N2328="","",VLOOKUP(N2328,Prior_levels,2,TRUE))</f>
        <v>M</v>
      </c>
    </row>
    <row r="2329" spans="1:18" x14ac:dyDescent="0.2">
      <c r="A2329" s="1" t="s">
        <v>251</v>
      </c>
      <c r="B2329" s="1" t="s">
        <v>12</v>
      </c>
      <c r="C2329" s="2">
        <v>41155</v>
      </c>
      <c r="D2329" s="1">
        <v>10</v>
      </c>
      <c r="E2329" s="1" t="s">
        <v>39</v>
      </c>
      <c r="H2329" s="1" t="s">
        <v>54</v>
      </c>
      <c r="I2329" s="1" t="s">
        <v>12</v>
      </c>
      <c r="J2329" s="1" t="s">
        <v>252</v>
      </c>
      <c r="K2329" s="1" t="s">
        <v>253</v>
      </c>
      <c r="L2329" s="1" t="s">
        <v>12</v>
      </c>
      <c r="M2329" s="1" t="s">
        <v>12</v>
      </c>
      <c r="N2329" s="1">
        <v>27.12</v>
      </c>
      <c r="O2329" s="1" t="s">
        <v>23</v>
      </c>
      <c r="P2329" s="1">
        <v>1.36</v>
      </c>
      <c r="Q2329" s="1" t="s">
        <v>16</v>
      </c>
      <c r="R2329" s="1" t="str">
        <f>IF(N2329="","",VLOOKUP(N2329,Prior_levels,2,TRUE))</f>
        <v>M</v>
      </c>
    </row>
    <row r="2330" spans="1:18" x14ac:dyDescent="0.2">
      <c r="A2330" s="1" t="s">
        <v>251</v>
      </c>
      <c r="B2330" s="1" t="s">
        <v>12</v>
      </c>
      <c r="C2330" s="2">
        <v>41155</v>
      </c>
      <c r="D2330" s="1">
        <v>10</v>
      </c>
      <c r="E2330" s="1" t="s">
        <v>39</v>
      </c>
      <c r="H2330" s="1" t="s">
        <v>54</v>
      </c>
      <c r="I2330" s="1" t="s">
        <v>12</v>
      </c>
      <c r="J2330" s="1" t="s">
        <v>252</v>
      </c>
      <c r="K2330" s="1" t="s">
        <v>253</v>
      </c>
      <c r="L2330" s="1" t="s">
        <v>12</v>
      </c>
      <c r="M2330" s="1" t="s">
        <v>12</v>
      </c>
      <c r="N2330" s="1">
        <v>27.12</v>
      </c>
      <c r="O2330" s="1" t="s">
        <v>25</v>
      </c>
      <c r="P2330" s="1">
        <v>1.61</v>
      </c>
      <c r="Q2330" s="1" t="s">
        <v>16</v>
      </c>
      <c r="R2330" s="1" t="str">
        <f>IF(N2330="","",VLOOKUP(N2330,Prior_levels,2,TRUE))</f>
        <v>M</v>
      </c>
    </row>
    <row r="2331" spans="1:18" x14ac:dyDescent="0.2">
      <c r="A2331" s="1" t="s">
        <v>251</v>
      </c>
      <c r="B2331" s="1" t="s">
        <v>12</v>
      </c>
      <c r="C2331" s="2">
        <v>41155</v>
      </c>
      <c r="D2331" s="1">
        <v>10</v>
      </c>
      <c r="E2331" s="1" t="s">
        <v>39</v>
      </c>
      <c r="H2331" s="1" t="s">
        <v>54</v>
      </c>
      <c r="I2331" s="1" t="s">
        <v>12</v>
      </c>
      <c r="J2331" s="1" t="s">
        <v>252</v>
      </c>
      <c r="K2331" s="1" t="s">
        <v>253</v>
      </c>
      <c r="L2331" s="1" t="s">
        <v>12</v>
      </c>
      <c r="M2331" s="1" t="s">
        <v>12</v>
      </c>
      <c r="N2331" s="1">
        <v>27.12</v>
      </c>
      <c r="O2331" s="1" t="s">
        <v>26</v>
      </c>
      <c r="P2331" s="1">
        <v>12</v>
      </c>
      <c r="Q2331" s="1" t="s">
        <v>16</v>
      </c>
      <c r="R2331" s="1" t="str">
        <f>IF(N2331="","",VLOOKUP(N2331,Prior_levels,2,TRUE))</f>
        <v>M</v>
      </c>
    </row>
    <row r="2332" spans="1:18" x14ac:dyDescent="0.2">
      <c r="A2332" s="1" t="s">
        <v>251</v>
      </c>
      <c r="B2332" s="1" t="s">
        <v>12</v>
      </c>
      <c r="C2332" s="2">
        <v>41155</v>
      </c>
      <c r="D2332" s="1">
        <v>10</v>
      </c>
      <c r="E2332" s="1" t="s">
        <v>39</v>
      </c>
      <c r="H2332" s="1" t="s">
        <v>54</v>
      </c>
      <c r="I2332" s="1" t="s">
        <v>12</v>
      </c>
      <c r="J2332" s="1" t="s">
        <v>252</v>
      </c>
      <c r="K2332" s="1" t="s">
        <v>253</v>
      </c>
      <c r="L2332" s="1" t="s">
        <v>12</v>
      </c>
      <c r="M2332" s="1" t="s">
        <v>12</v>
      </c>
      <c r="N2332" s="1">
        <v>27.12</v>
      </c>
      <c r="O2332" s="1" t="s">
        <v>24</v>
      </c>
      <c r="P2332" s="1">
        <v>5.25</v>
      </c>
      <c r="Q2332" s="1" t="s">
        <v>16</v>
      </c>
      <c r="R2332" s="1" t="str">
        <f>IF(N2332="","",VLOOKUP(N2332,Prior_levels,2,TRUE))</f>
        <v>M</v>
      </c>
    </row>
    <row r="2333" spans="1:18" x14ac:dyDescent="0.2">
      <c r="A2333" s="1" t="s">
        <v>251</v>
      </c>
      <c r="B2333" s="1" t="s">
        <v>12</v>
      </c>
      <c r="C2333" s="2">
        <v>41155</v>
      </c>
      <c r="D2333" s="1">
        <v>10</v>
      </c>
      <c r="E2333" s="1" t="s">
        <v>39</v>
      </c>
      <c r="H2333" s="1" t="s">
        <v>54</v>
      </c>
      <c r="I2333" s="1" t="s">
        <v>12</v>
      </c>
      <c r="J2333" s="1" t="s">
        <v>252</v>
      </c>
      <c r="K2333" s="1" t="s">
        <v>253</v>
      </c>
      <c r="L2333" s="1" t="s">
        <v>12</v>
      </c>
      <c r="M2333" s="1" t="s">
        <v>12</v>
      </c>
      <c r="N2333" s="1">
        <v>27.12</v>
      </c>
      <c r="O2333" s="1" t="s">
        <v>32</v>
      </c>
      <c r="P2333" s="1" t="s">
        <v>37</v>
      </c>
      <c r="Q2333" s="1" t="s">
        <v>16</v>
      </c>
      <c r="R2333" s="1" t="str">
        <f>IF(N2333="","",VLOOKUP(N2333,Prior_levels,2,TRUE))</f>
        <v>M</v>
      </c>
    </row>
    <row r="2334" spans="1:18" x14ac:dyDescent="0.2">
      <c r="A2334" s="1" t="s">
        <v>251</v>
      </c>
      <c r="B2334" s="1" t="s">
        <v>12</v>
      </c>
      <c r="C2334" s="2">
        <v>41155</v>
      </c>
      <c r="D2334" s="1">
        <v>10</v>
      </c>
      <c r="E2334" s="1" t="s">
        <v>39</v>
      </c>
      <c r="H2334" s="1" t="s">
        <v>54</v>
      </c>
      <c r="I2334" s="1" t="s">
        <v>12</v>
      </c>
      <c r="J2334" s="1" t="s">
        <v>252</v>
      </c>
      <c r="K2334" s="1" t="s">
        <v>253</v>
      </c>
      <c r="L2334" s="1" t="s">
        <v>12</v>
      </c>
      <c r="M2334" s="1" t="s">
        <v>12</v>
      </c>
      <c r="N2334" s="1">
        <v>27.12</v>
      </c>
      <c r="O2334" s="1" t="s">
        <v>27</v>
      </c>
      <c r="P2334" s="1" t="s">
        <v>37</v>
      </c>
      <c r="Q2334" s="1" t="s">
        <v>16</v>
      </c>
      <c r="R2334" s="1" t="str">
        <f>IF(N2334="","",VLOOKUP(N2334,Prior_levels,2,TRUE))</f>
        <v>M</v>
      </c>
    </row>
    <row r="2335" spans="1:18" x14ac:dyDescent="0.2">
      <c r="A2335" s="1" t="s">
        <v>251</v>
      </c>
      <c r="B2335" s="1" t="s">
        <v>12</v>
      </c>
      <c r="C2335" s="2">
        <v>41155</v>
      </c>
      <c r="D2335" s="1">
        <v>10</v>
      </c>
      <c r="E2335" s="1" t="s">
        <v>39</v>
      </c>
      <c r="H2335" s="1" t="s">
        <v>54</v>
      </c>
      <c r="I2335" s="1" t="s">
        <v>12</v>
      </c>
      <c r="J2335" s="1" t="s">
        <v>252</v>
      </c>
      <c r="K2335" s="1" t="s">
        <v>253</v>
      </c>
      <c r="L2335" s="1" t="s">
        <v>12</v>
      </c>
      <c r="M2335" s="1" t="s">
        <v>12</v>
      </c>
      <c r="N2335" s="1">
        <v>27.12</v>
      </c>
      <c r="O2335" s="1" t="s">
        <v>29</v>
      </c>
      <c r="P2335" s="1" t="s">
        <v>37</v>
      </c>
      <c r="Q2335" s="1" t="s">
        <v>16</v>
      </c>
      <c r="R2335" s="1" t="str">
        <f>IF(N2335="","",VLOOKUP(N2335,Prior_levels,2,TRUE))</f>
        <v>M</v>
      </c>
    </row>
    <row r="2336" spans="1:18" x14ac:dyDescent="0.2">
      <c r="A2336" s="1" t="s">
        <v>251</v>
      </c>
      <c r="B2336" s="1" t="s">
        <v>12</v>
      </c>
      <c r="C2336" s="2">
        <v>41155</v>
      </c>
      <c r="D2336" s="1">
        <v>10</v>
      </c>
      <c r="E2336" s="1" t="s">
        <v>39</v>
      </c>
      <c r="H2336" s="1" t="s">
        <v>54</v>
      </c>
      <c r="I2336" s="1" t="s">
        <v>12</v>
      </c>
      <c r="J2336" s="1" t="s">
        <v>252</v>
      </c>
      <c r="K2336" s="1" t="s">
        <v>253</v>
      </c>
      <c r="L2336" s="1" t="s">
        <v>12</v>
      </c>
      <c r="M2336" s="1" t="s">
        <v>12</v>
      </c>
      <c r="N2336" s="1">
        <v>27.12</v>
      </c>
      <c r="O2336" s="1" t="s">
        <v>30</v>
      </c>
      <c r="P2336" s="1" t="s">
        <v>37</v>
      </c>
      <c r="Q2336" s="1" t="s">
        <v>16</v>
      </c>
      <c r="R2336" s="1" t="str">
        <f>IF(N2336="","",VLOOKUP(N2336,Prior_levels,2,TRUE))</f>
        <v>M</v>
      </c>
    </row>
    <row r="2337" spans="1:18" x14ac:dyDescent="0.2">
      <c r="A2337" s="1" t="s">
        <v>251</v>
      </c>
      <c r="B2337" s="1" t="s">
        <v>12</v>
      </c>
      <c r="C2337" s="2">
        <v>41155</v>
      </c>
      <c r="D2337" s="1">
        <v>10</v>
      </c>
      <c r="E2337" s="1" t="s">
        <v>39</v>
      </c>
      <c r="H2337" s="1" t="s">
        <v>54</v>
      </c>
      <c r="I2337" s="1" t="s">
        <v>12</v>
      </c>
      <c r="J2337" s="1" t="s">
        <v>252</v>
      </c>
      <c r="K2337" s="1" t="s">
        <v>253</v>
      </c>
      <c r="L2337" s="1" t="s">
        <v>12</v>
      </c>
      <c r="M2337" s="1" t="s">
        <v>12</v>
      </c>
      <c r="N2337" s="1">
        <v>27.12</v>
      </c>
      <c r="O2337" s="1" t="s">
        <v>31</v>
      </c>
      <c r="P2337" s="1" t="s">
        <v>37</v>
      </c>
      <c r="Q2337" s="1" t="s">
        <v>16</v>
      </c>
      <c r="R2337" s="1" t="str">
        <f>IF(N2337="","",VLOOKUP(N2337,Prior_levels,2,TRUE))</f>
        <v>M</v>
      </c>
    </row>
    <row r="2338" spans="1:18" x14ac:dyDescent="0.2">
      <c r="A2338" s="1" t="s">
        <v>254</v>
      </c>
      <c r="B2338" s="1" t="s">
        <v>12</v>
      </c>
      <c r="C2338" s="2">
        <v>41155</v>
      </c>
      <c r="D2338" s="1">
        <v>10</v>
      </c>
      <c r="E2338" s="1" t="s">
        <v>11</v>
      </c>
      <c r="F2338" s="1" t="s">
        <v>28</v>
      </c>
      <c r="H2338" s="1" t="s">
        <v>48</v>
      </c>
      <c r="I2338" s="1" t="s">
        <v>12</v>
      </c>
      <c r="J2338" s="1" t="s">
        <v>196</v>
      </c>
      <c r="K2338" s="1" t="s">
        <v>196</v>
      </c>
      <c r="L2338" s="1" t="s">
        <v>12</v>
      </c>
      <c r="M2338" s="1" t="s">
        <v>12</v>
      </c>
      <c r="N2338" s="1">
        <v>27.12</v>
      </c>
      <c r="O2338" s="1" t="s">
        <v>15</v>
      </c>
      <c r="P2338" s="1">
        <v>4</v>
      </c>
      <c r="Q2338" s="1" t="s">
        <v>16</v>
      </c>
      <c r="R2338" s="1" t="str">
        <f>IF(N2338="","",VLOOKUP(N2338,Prior_levels,2,TRUE))</f>
        <v>M</v>
      </c>
    </row>
    <row r="2339" spans="1:18" x14ac:dyDescent="0.2">
      <c r="A2339" s="1" t="s">
        <v>254</v>
      </c>
      <c r="B2339" s="1" t="s">
        <v>12</v>
      </c>
      <c r="C2339" s="2">
        <v>41155</v>
      </c>
      <c r="D2339" s="1">
        <v>10</v>
      </c>
      <c r="E2339" s="1" t="s">
        <v>11</v>
      </c>
      <c r="F2339" s="1" t="s">
        <v>28</v>
      </c>
      <c r="H2339" s="1" t="s">
        <v>48</v>
      </c>
      <c r="I2339" s="1" t="s">
        <v>12</v>
      </c>
      <c r="J2339" s="1" t="s">
        <v>196</v>
      </c>
      <c r="K2339" s="1" t="s">
        <v>196</v>
      </c>
      <c r="L2339" s="1" t="s">
        <v>12</v>
      </c>
      <c r="M2339" s="1" t="s">
        <v>12</v>
      </c>
      <c r="N2339" s="1">
        <v>27.12</v>
      </c>
      <c r="O2339" s="1" t="s">
        <v>17</v>
      </c>
      <c r="P2339" s="1">
        <v>-0.55000000000000004</v>
      </c>
      <c r="Q2339" s="1" t="s">
        <v>16</v>
      </c>
      <c r="R2339" s="1" t="str">
        <f>IF(N2339="","",VLOOKUP(N2339,Prior_levels,2,TRUE))</f>
        <v>M</v>
      </c>
    </row>
    <row r="2340" spans="1:18" x14ac:dyDescent="0.2">
      <c r="A2340" s="1" t="s">
        <v>254</v>
      </c>
      <c r="B2340" s="1" t="s">
        <v>12</v>
      </c>
      <c r="C2340" s="2">
        <v>41155</v>
      </c>
      <c r="D2340" s="1">
        <v>10</v>
      </c>
      <c r="E2340" s="1" t="s">
        <v>11</v>
      </c>
      <c r="F2340" s="1" t="s">
        <v>28</v>
      </c>
      <c r="H2340" s="1" t="s">
        <v>48</v>
      </c>
      <c r="I2340" s="1" t="s">
        <v>12</v>
      </c>
      <c r="J2340" s="1" t="s">
        <v>196</v>
      </c>
      <c r="K2340" s="1" t="s">
        <v>196</v>
      </c>
      <c r="L2340" s="1" t="s">
        <v>12</v>
      </c>
      <c r="M2340" s="1" t="s">
        <v>12</v>
      </c>
      <c r="N2340" s="1">
        <v>27.12</v>
      </c>
      <c r="O2340" s="1" t="s">
        <v>18</v>
      </c>
      <c r="P2340" s="1">
        <v>8</v>
      </c>
      <c r="Q2340" s="1" t="s">
        <v>16</v>
      </c>
      <c r="R2340" s="1" t="str">
        <f>IF(N2340="","",VLOOKUP(N2340,Prior_levels,2,TRUE))</f>
        <v>M</v>
      </c>
    </row>
    <row r="2341" spans="1:18" x14ac:dyDescent="0.2">
      <c r="A2341" s="1" t="s">
        <v>254</v>
      </c>
      <c r="B2341" s="1" t="s">
        <v>12</v>
      </c>
      <c r="C2341" s="2">
        <v>41155</v>
      </c>
      <c r="D2341" s="1">
        <v>10</v>
      </c>
      <c r="E2341" s="1" t="s">
        <v>11</v>
      </c>
      <c r="F2341" s="1" t="s">
        <v>28</v>
      </c>
      <c r="H2341" s="1" t="s">
        <v>48</v>
      </c>
      <c r="I2341" s="1" t="s">
        <v>12</v>
      </c>
      <c r="J2341" s="1" t="s">
        <v>196</v>
      </c>
      <c r="K2341" s="1" t="s">
        <v>196</v>
      </c>
      <c r="L2341" s="1" t="s">
        <v>12</v>
      </c>
      <c r="M2341" s="1" t="s">
        <v>12</v>
      </c>
      <c r="N2341" s="1">
        <v>27.12</v>
      </c>
      <c r="O2341" s="1" t="s">
        <v>19</v>
      </c>
      <c r="P2341" s="1">
        <v>10</v>
      </c>
      <c r="Q2341" s="1" t="s">
        <v>16</v>
      </c>
      <c r="R2341" s="1" t="str">
        <f>IF(N2341="","",VLOOKUP(N2341,Prior_levels,2,TRUE))</f>
        <v>M</v>
      </c>
    </row>
    <row r="2342" spans="1:18" x14ac:dyDescent="0.2">
      <c r="A2342" s="1" t="s">
        <v>254</v>
      </c>
      <c r="B2342" s="1" t="s">
        <v>12</v>
      </c>
      <c r="C2342" s="2">
        <v>41155</v>
      </c>
      <c r="D2342" s="1">
        <v>10</v>
      </c>
      <c r="E2342" s="1" t="s">
        <v>11</v>
      </c>
      <c r="F2342" s="1" t="s">
        <v>28</v>
      </c>
      <c r="H2342" s="1" t="s">
        <v>48</v>
      </c>
      <c r="I2342" s="1" t="s">
        <v>12</v>
      </c>
      <c r="J2342" s="1" t="s">
        <v>196</v>
      </c>
      <c r="K2342" s="1" t="s">
        <v>196</v>
      </c>
      <c r="L2342" s="1" t="s">
        <v>12</v>
      </c>
      <c r="M2342" s="1" t="s">
        <v>12</v>
      </c>
      <c r="N2342" s="1">
        <v>27.12</v>
      </c>
      <c r="O2342" s="1" t="s">
        <v>20</v>
      </c>
      <c r="P2342" s="1">
        <v>11</v>
      </c>
      <c r="Q2342" s="1" t="s">
        <v>16</v>
      </c>
      <c r="R2342" s="1" t="str">
        <f>IF(N2342="","",VLOOKUP(N2342,Prior_levels,2,TRUE))</f>
        <v>M</v>
      </c>
    </row>
    <row r="2343" spans="1:18" x14ac:dyDescent="0.2">
      <c r="A2343" s="1" t="s">
        <v>254</v>
      </c>
      <c r="B2343" s="1" t="s">
        <v>12</v>
      </c>
      <c r="C2343" s="2">
        <v>41155</v>
      </c>
      <c r="D2343" s="1">
        <v>10</v>
      </c>
      <c r="E2343" s="1" t="s">
        <v>11</v>
      </c>
      <c r="F2343" s="1" t="s">
        <v>28</v>
      </c>
      <c r="H2343" s="1" t="s">
        <v>48</v>
      </c>
      <c r="I2343" s="1" t="s">
        <v>12</v>
      </c>
      <c r="J2343" s="1" t="s">
        <v>196</v>
      </c>
      <c r="K2343" s="1" t="s">
        <v>196</v>
      </c>
      <c r="L2343" s="1" t="s">
        <v>12</v>
      </c>
      <c r="M2343" s="1" t="s">
        <v>12</v>
      </c>
      <c r="N2343" s="1">
        <v>27.12</v>
      </c>
      <c r="O2343" s="1" t="s">
        <v>21</v>
      </c>
      <c r="P2343" s="1">
        <v>11</v>
      </c>
      <c r="Q2343" s="1" t="s">
        <v>16</v>
      </c>
      <c r="R2343" s="1" t="str">
        <f>IF(N2343="","",VLOOKUP(N2343,Prior_levels,2,TRUE))</f>
        <v>M</v>
      </c>
    </row>
    <row r="2344" spans="1:18" x14ac:dyDescent="0.2">
      <c r="A2344" s="1" t="s">
        <v>254</v>
      </c>
      <c r="B2344" s="1" t="s">
        <v>12</v>
      </c>
      <c r="C2344" s="2">
        <v>41155</v>
      </c>
      <c r="D2344" s="1">
        <v>10</v>
      </c>
      <c r="E2344" s="1" t="s">
        <v>11</v>
      </c>
      <c r="F2344" s="1" t="s">
        <v>28</v>
      </c>
      <c r="H2344" s="1" t="s">
        <v>48</v>
      </c>
      <c r="I2344" s="1" t="s">
        <v>12</v>
      </c>
      <c r="J2344" s="1" t="s">
        <v>196</v>
      </c>
      <c r="K2344" s="1" t="s">
        <v>196</v>
      </c>
      <c r="L2344" s="1" t="s">
        <v>12</v>
      </c>
      <c r="M2344" s="1" t="s">
        <v>12</v>
      </c>
      <c r="N2344" s="1">
        <v>27.12</v>
      </c>
      <c r="O2344" s="1" t="s">
        <v>22</v>
      </c>
      <c r="P2344" s="1">
        <v>-1.05</v>
      </c>
      <c r="Q2344" s="1" t="s">
        <v>16</v>
      </c>
      <c r="R2344" s="1" t="str">
        <f>IF(N2344="","",VLOOKUP(N2344,Prior_levels,2,TRUE))</f>
        <v>M</v>
      </c>
    </row>
    <row r="2345" spans="1:18" x14ac:dyDescent="0.2">
      <c r="A2345" s="1" t="s">
        <v>254</v>
      </c>
      <c r="B2345" s="1" t="s">
        <v>12</v>
      </c>
      <c r="C2345" s="2">
        <v>41155</v>
      </c>
      <c r="D2345" s="1">
        <v>10</v>
      </c>
      <c r="E2345" s="1" t="s">
        <v>11</v>
      </c>
      <c r="F2345" s="1" t="s">
        <v>28</v>
      </c>
      <c r="H2345" s="1" t="s">
        <v>48</v>
      </c>
      <c r="I2345" s="1" t="s">
        <v>12</v>
      </c>
      <c r="J2345" s="1" t="s">
        <v>196</v>
      </c>
      <c r="K2345" s="1" t="s">
        <v>196</v>
      </c>
      <c r="L2345" s="1" t="s">
        <v>12</v>
      </c>
      <c r="M2345" s="1" t="s">
        <v>12</v>
      </c>
      <c r="N2345" s="1">
        <v>27.12</v>
      </c>
      <c r="O2345" s="1" t="s">
        <v>23</v>
      </c>
      <c r="P2345" s="1">
        <v>0.36</v>
      </c>
      <c r="Q2345" s="1" t="s">
        <v>16</v>
      </c>
      <c r="R2345" s="1" t="str">
        <f>IF(N2345="","",VLOOKUP(N2345,Prior_levels,2,TRUE))</f>
        <v>M</v>
      </c>
    </row>
    <row r="2346" spans="1:18" x14ac:dyDescent="0.2">
      <c r="A2346" s="1" t="s">
        <v>254</v>
      </c>
      <c r="B2346" s="1" t="s">
        <v>12</v>
      </c>
      <c r="C2346" s="2">
        <v>41155</v>
      </c>
      <c r="D2346" s="1">
        <v>10</v>
      </c>
      <c r="E2346" s="1" t="s">
        <v>11</v>
      </c>
      <c r="F2346" s="1" t="s">
        <v>28</v>
      </c>
      <c r="H2346" s="1" t="s">
        <v>48</v>
      </c>
      <c r="I2346" s="1" t="s">
        <v>12</v>
      </c>
      <c r="J2346" s="1" t="s">
        <v>196</v>
      </c>
      <c r="K2346" s="1" t="s">
        <v>196</v>
      </c>
      <c r="L2346" s="1" t="s">
        <v>12</v>
      </c>
      <c r="M2346" s="1" t="s">
        <v>12</v>
      </c>
      <c r="N2346" s="1">
        <v>27.12</v>
      </c>
      <c r="O2346" s="1" t="s">
        <v>25</v>
      </c>
      <c r="P2346" s="1">
        <v>-3.89</v>
      </c>
      <c r="Q2346" s="1" t="s">
        <v>16</v>
      </c>
      <c r="R2346" s="1" t="str">
        <f>IF(N2346="","",VLOOKUP(N2346,Prior_levels,2,TRUE))</f>
        <v>M</v>
      </c>
    </row>
    <row r="2347" spans="1:18" x14ac:dyDescent="0.2">
      <c r="A2347" s="1" t="s">
        <v>254</v>
      </c>
      <c r="B2347" s="1" t="s">
        <v>12</v>
      </c>
      <c r="C2347" s="2">
        <v>41155</v>
      </c>
      <c r="D2347" s="1">
        <v>10</v>
      </c>
      <c r="E2347" s="1" t="s">
        <v>11</v>
      </c>
      <c r="F2347" s="1" t="s">
        <v>28</v>
      </c>
      <c r="H2347" s="1" t="s">
        <v>48</v>
      </c>
      <c r="I2347" s="1" t="s">
        <v>12</v>
      </c>
      <c r="J2347" s="1" t="s">
        <v>196</v>
      </c>
      <c r="K2347" s="1" t="s">
        <v>196</v>
      </c>
      <c r="L2347" s="1" t="s">
        <v>12</v>
      </c>
      <c r="M2347" s="1" t="s">
        <v>12</v>
      </c>
      <c r="N2347" s="1">
        <v>27.12</v>
      </c>
      <c r="O2347" s="1" t="s">
        <v>26</v>
      </c>
      <c r="P2347" s="1">
        <v>4</v>
      </c>
      <c r="Q2347" s="1" t="s">
        <v>16</v>
      </c>
      <c r="R2347" s="1" t="str">
        <f>IF(N2347="","",VLOOKUP(N2347,Prior_levels,2,TRUE))</f>
        <v>M</v>
      </c>
    </row>
    <row r="2348" spans="1:18" x14ac:dyDescent="0.2">
      <c r="A2348" s="1" t="s">
        <v>254</v>
      </c>
      <c r="B2348" s="1" t="s">
        <v>12</v>
      </c>
      <c r="C2348" s="2">
        <v>41155</v>
      </c>
      <c r="D2348" s="1">
        <v>10</v>
      </c>
      <c r="E2348" s="1" t="s">
        <v>11</v>
      </c>
      <c r="F2348" s="1" t="s">
        <v>28</v>
      </c>
      <c r="H2348" s="1" t="s">
        <v>48</v>
      </c>
      <c r="I2348" s="1" t="s">
        <v>12</v>
      </c>
      <c r="J2348" s="1" t="s">
        <v>196</v>
      </c>
      <c r="K2348" s="1" t="s">
        <v>196</v>
      </c>
      <c r="L2348" s="1" t="s">
        <v>12</v>
      </c>
      <c r="M2348" s="1" t="s">
        <v>12</v>
      </c>
      <c r="N2348" s="1">
        <v>27.12</v>
      </c>
      <c r="O2348" s="1" t="s">
        <v>24</v>
      </c>
      <c r="P2348" s="1">
        <v>-0.25</v>
      </c>
      <c r="Q2348" s="1" t="s">
        <v>16</v>
      </c>
      <c r="R2348" s="1" t="str">
        <f>IF(N2348="","",VLOOKUP(N2348,Prior_levels,2,TRUE))</f>
        <v>M</v>
      </c>
    </row>
    <row r="2349" spans="1:18" x14ac:dyDescent="0.2">
      <c r="A2349" s="1" t="s">
        <v>254</v>
      </c>
      <c r="B2349" s="1" t="s">
        <v>12</v>
      </c>
      <c r="C2349" s="2">
        <v>41155</v>
      </c>
      <c r="D2349" s="1">
        <v>10</v>
      </c>
      <c r="E2349" s="1" t="s">
        <v>11</v>
      </c>
      <c r="F2349" s="1" t="s">
        <v>28</v>
      </c>
      <c r="H2349" s="1" t="s">
        <v>48</v>
      </c>
      <c r="I2349" s="1" t="s">
        <v>12</v>
      </c>
      <c r="J2349" s="1" t="s">
        <v>196</v>
      </c>
      <c r="K2349" s="1" t="s">
        <v>196</v>
      </c>
      <c r="L2349" s="1" t="s">
        <v>12</v>
      </c>
      <c r="M2349" s="1" t="s">
        <v>12</v>
      </c>
      <c r="N2349" s="1">
        <v>27.12</v>
      </c>
      <c r="O2349" s="1" t="s">
        <v>32</v>
      </c>
      <c r="P2349" s="1" t="s">
        <v>28</v>
      </c>
      <c r="Q2349" s="1" t="s">
        <v>16</v>
      </c>
      <c r="R2349" s="1" t="str">
        <f>IF(N2349="","",VLOOKUP(N2349,Prior_levels,2,TRUE))</f>
        <v>M</v>
      </c>
    </row>
    <row r="2350" spans="1:18" x14ac:dyDescent="0.2">
      <c r="A2350" s="1" t="s">
        <v>254</v>
      </c>
      <c r="B2350" s="1" t="s">
        <v>12</v>
      </c>
      <c r="C2350" s="2">
        <v>41155</v>
      </c>
      <c r="D2350" s="1">
        <v>10</v>
      </c>
      <c r="E2350" s="1" t="s">
        <v>11</v>
      </c>
      <c r="F2350" s="1" t="s">
        <v>28</v>
      </c>
      <c r="H2350" s="1" t="s">
        <v>48</v>
      </c>
      <c r="I2350" s="1" t="s">
        <v>12</v>
      </c>
      <c r="J2350" s="1" t="s">
        <v>196</v>
      </c>
      <c r="K2350" s="1" t="s">
        <v>196</v>
      </c>
      <c r="L2350" s="1" t="s">
        <v>12</v>
      </c>
      <c r="M2350" s="1" t="s">
        <v>12</v>
      </c>
      <c r="N2350" s="1">
        <v>27.12</v>
      </c>
      <c r="O2350" s="1" t="s">
        <v>27</v>
      </c>
      <c r="P2350" s="1" t="s">
        <v>37</v>
      </c>
      <c r="Q2350" s="1" t="s">
        <v>16</v>
      </c>
      <c r="R2350" s="1" t="str">
        <f>IF(N2350="","",VLOOKUP(N2350,Prior_levels,2,TRUE))</f>
        <v>M</v>
      </c>
    </row>
    <row r="2351" spans="1:18" x14ac:dyDescent="0.2">
      <c r="A2351" s="1" t="s">
        <v>254</v>
      </c>
      <c r="B2351" s="1" t="s">
        <v>12</v>
      </c>
      <c r="C2351" s="2">
        <v>41155</v>
      </c>
      <c r="D2351" s="1">
        <v>10</v>
      </c>
      <c r="E2351" s="1" t="s">
        <v>11</v>
      </c>
      <c r="F2351" s="1" t="s">
        <v>28</v>
      </c>
      <c r="H2351" s="1" t="s">
        <v>48</v>
      </c>
      <c r="I2351" s="1" t="s">
        <v>12</v>
      </c>
      <c r="J2351" s="1" t="s">
        <v>196</v>
      </c>
      <c r="K2351" s="1" t="s">
        <v>196</v>
      </c>
      <c r="L2351" s="1" t="s">
        <v>12</v>
      </c>
      <c r="M2351" s="1" t="s">
        <v>12</v>
      </c>
      <c r="N2351" s="1">
        <v>27.12</v>
      </c>
      <c r="O2351" s="1" t="s">
        <v>29</v>
      </c>
      <c r="P2351" s="1" t="s">
        <v>28</v>
      </c>
      <c r="Q2351" s="1" t="s">
        <v>16</v>
      </c>
      <c r="R2351" s="1" t="str">
        <f>IF(N2351="","",VLOOKUP(N2351,Prior_levels,2,TRUE))</f>
        <v>M</v>
      </c>
    </row>
    <row r="2352" spans="1:18" x14ac:dyDescent="0.2">
      <c r="A2352" s="1" t="s">
        <v>254</v>
      </c>
      <c r="B2352" s="1" t="s">
        <v>12</v>
      </c>
      <c r="C2352" s="2">
        <v>41155</v>
      </c>
      <c r="D2352" s="1">
        <v>10</v>
      </c>
      <c r="E2352" s="1" t="s">
        <v>11</v>
      </c>
      <c r="F2352" s="1" t="s">
        <v>28</v>
      </c>
      <c r="H2352" s="1" t="s">
        <v>48</v>
      </c>
      <c r="I2352" s="1" t="s">
        <v>12</v>
      </c>
      <c r="J2352" s="1" t="s">
        <v>196</v>
      </c>
      <c r="K2352" s="1" t="s">
        <v>196</v>
      </c>
      <c r="L2352" s="1" t="s">
        <v>12</v>
      </c>
      <c r="M2352" s="1" t="s">
        <v>12</v>
      </c>
      <c r="N2352" s="1">
        <v>27.12</v>
      </c>
      <c r="O2352" s="1" t="s">
        <v>30</v>
      </c>
      <c r="P2352" s="1" t="s">
        <v>28</v>
      </c>
      <c r="Q2352" s="1" t="s">
        <v>16</v>
      </c>
      <c r="R2352" s="1" t="str">
        <f>IF(N2352="","",VLOOKUP(N2352,Prior_levels,2,TRUE))</f>
        <v>M</v>
      </c>
    </row>
    <row r="2353" spans="1:18" x14ac:dyDescent="0.2">
      <c r="A2353" s="1" t="s">
        <v>254</v>
      </c>
      <c r="B2353" s="1" t="s">
        <v>12</v>
      </c>
      <c r="C2353" s="2">
        <v>41155</v>
      </c>
      <c r="D2353" s="1">
        <v>10</v>
      </c>
      <c r="E2353" s="1" t="s">
        <v>11</v>
      </c>
      <c r="F2353" s="1" t="s">
        <v>28</v>
      </c>
      <c r="H2353" s="1" t="s">
        <v>48</v>
      </c>
      <c r="I2353" s="1" t="s">
        <v>12</v>
      </c>
      <c r="J2353" s="1" t="s">
        <v>196</v>
      </c>
      <c r="K2353" s="1" t="s">
        <v>196</v>
      </c>
      <c r="L2353" s="1" t="s">
        <v>12</v>
      </c>
      <c r="M2353" s="1" t="s">
        <v>12</v>
      </c>
      <c r="N2353" s="1">
        <v>27.12</v>
      </c>
      <c r="O2353" s="1" t="s">
        <v>31</v>
      </c>
      <c r="P2353" s="1" t="s">
        <v>28</v>
      </c>
      <c r="Q2353" s="1" t="s">
        <v>16</v>
      </c>
      <c r="R2353" s="1" t="str">
        <f>IF(N2353="","",VLOOKUP(N2353,Prior_levels,2,TRUE))</f>
        <v>M</v>
      </c>
    </row>
    <row r="2354" spans="1:18" x14ac:dyDescent="0.2">
      <c r="A2354" s="1" t="s">
        <v>255</v>
      </c>
      <c r="B2354" s="1" t="s">
        <v>10</v>
      </c>
      <c r="C2354" s="2">
        <v>41155</v>
      </c>
      <c r="D2354" s="1">
        <v>10</v>
      </c>
      <c r="E2354" s="1" t="s">
        <v>34</v>
      </c>
      <c r="H2354" s="1" t="s">
        <v>54</v>
      </c>
      <c r="I2354" s="1" t="s">
        <v>12</v>
      </c>
      <c r="J2354" s="1" t="s">
        <v>40</v>
      </c>
      <c r="K2354" s="1" t="s">
        <v>14</v>
      </c>
      <c r="L2354" s="1" t="s">
        <v>12</v>
      </c>
      <c r="M2354" s="1" t="s">
        <v>12</v>
      </c>
      <c r="N2354" s="1">
        <v>30.18</v>
      </c>
      <c r="O2354" s="1" t="s">
        <v>15</v>
      </c>
      <c r="P2354" s="1">
        <v>6.3</v>
      </c>
      <c r="Q2354" s="1" t="s">
        <v>16</v>
      </c>
      <c r="R2354" s="1" t="str">
        <f>IF(N2354="","",VLOOKUP(N2354,Prior_levels,2,TRUE))</f>
        <v>H</v>
      </c>
    </row>
    <row r="2355" spans="1:18" x14ac:dyDescent="0.2">
      <c r="A2355" s="1" t="s">
        <v>255</v>
      </c>
      <c r="B2355" s="1" t="s">
        <v>10</v>
      </c>
      <c r="C2355" s="2">
        <v>41155</v>
      </c>
      <c r="D2355" s="1">
        <v>10</v>
      </c>
      <c r="E2355" s="1" t="s">
        <v>34</v>
      </c>
      <c r="H2355" s="1" t="s">
        <v>54</v>
      </c>
      <c r="I2355" s="1" t="s">
        <v>12</v>
      </c>
      <c r="J2355" s="1" t="s">
        <v>40</v>
      </c>
      <c r="K2355" s="1" t="s">
        <v>14</v>
      </c>
      <c r="L2355" s="1" t="s">
        <v>12</v>
      </c>
      <c r="M2355" s="1" t="s">
        <v>12</v>
      </c>
      <c r="N2355" s="1">
        <v>30.18</v>
      </c>
      <c r="O2355" s="1" t="s">
        <v>17</v>
      </c>
      <c r="P2355" s="1">
        <v>0.71</v>
      </c>
      <c r="Q2355" s="1" t="s">
        <v>16</v>
      </c>
      <c r="R2355" s="1" t="str">
        <f>IF(N2355="","",VLOOKUP(N2355,Prior_levels,2,TRUE))</f>
        <v>H</v>
      </c>
    </row>
    <row r="2356" spans="1:18" x14ac:dyDescent="0.2">
      <c r="A2356" s="1" t="s">
        <v>255</v>
      </c>
      <c r="B2356" s="1" t="s">
        <v>10</v>
      </c>
      <c r="C2356" s="2">
        <v>41155</v>
      </c>
      <c r="D2356" s="1">
        <v>10</v>
      </c>
      <c r="E2356" s="1" t="s">
        <v>34</v>
      </c>
      <c r="H2356" s="1" t="s">
        <v>54</v>
      </c>
      <c r="I2356" s="1" t="s">
        <v>12</v>
      </c>
      <c r="J2356" s="1" t="s">
        <v>40</v>
      </c>
      <c r="K2356" s="1" t="s">
        <v>14</v>
      </c>
      <c r="L2356" s="1" t="s">
        <v>12</v>
      </c>
      <c r="M2356" s="1" t="s">
        <v>12</v>
      </c>
      <c r="N2356" s="1">
        <v>30.18</v>
      </c>
      <c r="O2356" s="1" t="s">
        <v>18</v>
      </c>
      <c r="P2356" s="1">
        <v>14</v>
      </c>
      <c r="Q2356" s="1" t="s">
        <v>16</v>
      </c>
      <c r="R2356" s="1" t="str">
        <f>IF(N2356="","",VLOOKUP(N2356,Prior_levels,2,TRUE))</f>
        <v>H</v>
      </c>
    </row>
    <row r="2357" spans="1:18" x14ac:dyDescent="0.2">
      <c r="A2357" s="1" t="s">
        <v>255</v>
      </c>
      <c r="B2357" s="1" t="s">
        <v>10</v>
      </c>
      <c r="C2357" s="2">
        <v>41155</v>
      </c>
      <c r="D2357" s="1">
        <v>10</v>
      </c>
      <c r="E2357" s="1" t="s">
        <v>34</v>
      </c>
      <c r="H2357" s="1" t="s">
        <v>54</v>
      </c>
      <c r="I2357" s="1" t="s">
        <v>12</v>
      </c>
      <c r="J2357" s="1" t="s">
        <v>40</v>
      </c>
      <c r="K2357" s="1" t="s">
        <v>14</v>
      </c>
      <c r="L2357" s="1" t="s">
        <v>12</v>
      </c>
      <c r="M2357" s="1" t="s">
        <v>12</v>
      </c>
      <c r="N2357" s="1">
        <v>30.18</v>
      </c>
      <c r="O2357" s="1" t="s">
        <v>19</v>
      </c>
      <c r="P2357" s="1">
        <v>10</v>
      </c>
      <c r="Q2357" s="1" t="s">
        <v>16</v>
      </c>
      <c r="R2357" s="1" t="str">
        <f>IF(N2357="","",VLOOKUP(N2357,Prior_levels,2,TRUE))</f>
        <v>H</v>
      </c>
    </row>
    <row r="2358" spans="1:18" x14ac:dyDescent="0.2">
      <c r="A2358" s="1" t="s">
        <v>255</v>
      </c>
      <c r="B2358" s="1" t="s">
        <v>10</v>
      </c>
      <c r="C2358" s="2">
        <v>41155</v>
      </c>
      <c r="D2358" s="1">
        <v>10</v>
      </c>
      <c r="E2358" s="1" t="s">
        <v>34</v>
      </c>
      <c r="H2358" s="1" t="s">
        <v>54</v>
      </c>
      <c r="I2358" s="1" t="s">
        <v>12</v>
      </c>
      <c r="J2358" s="1" t="s">
        <v>40</v>
      </c>
      <c r="K2358" s="1" t="s">
        <v>14</v>
      </c>
      <c r="L2358" s="1" t="s">
        <v>12</v>
      </c>
      <c r="M2358" s="1" t="s">
        <v>12</v>
      </c>
      <c r="N2358" s="1">
        <v>30.18</v>
      </c>
      <c r="O2358" s="1" t="s">
        <v>20</v>
      </c>
      <c r="P2358" s="1">
        <v>21</v>
      </c>
      <c r="Q2358" s="1" t="s">
        <v>16</v>
      </c>
      <c r="R2358" s="1" t="str">
        <f>IF(N2358="","",VLOOKUP(N2358,Prior_levels,2,TRUE))</f>
        <v>H</v>
      </c>
    </row>
    <row r="2359" spans="1:18" x14ac:dyDescent="0.2">
      <c r="A2359" s="1" t="s">
        <v>255</v>
      </c>
      <c r="B2359" s="1" t="s">
        <v>10</v>
      </c>
      <c r="C2359" s="2">
        <v>41155</v>
      </c>
      <c r="D2359" s="1">
        <v>10</v>
      </c>
      <c r="E2359" s="1" t="s">
        <v>34</v>
      </c>
      <c r="H2359" s="1" t="s">
        <v>54</v>
      </c>
      <c r="I2359" s="1" t="s">
        <v>12</v>
      </c>
      <c r="J2359" s="1" t="s">
        <v>40</v>
      </c>
      <c r="K2359" s="1" t="s">
        <v>14</v>
      </c>
      <c r="L2359" s="1" t="s">
        <v>12</v>
      </c>
      <c r="M2359" s="1" t="s">
        <v>12</v>
      </c>
      <c r="N2359" s="1">
        <v>30.18</v>
      </c>
      <c r="O2359" s="1" t="s">
        <v>21</v>
      </c>
      <c r="P2359" s="1">
        <v>18</v>
      </c>
      <c r="Q2359" s="1" t="s">
        <v>16</v>
      </c>
      <c r="R2359" s="1" t="str">
        <f>IF(N2359="","",VLOOKUP(N2359,Prior_levels,2,TRUE))</f>
        <v>H</v>
      </c>
    </row>
    <row r="2360" spans="1:18" x14ac:dyDescent="0.2">
      <c r="A2360" s="1" t="s">
        <v>255</v>
      </c>
      <c r="B2360" s="1" t="s">
        <v>10</v>
      </c>
      <c r="C2360" s="2">
        <v>41155</v>
      </c>
      <c r="D2360" s="1">
        <v>10</v>
      </c>
      <c r="E2360" s="1" t="s">
        <v>34</v>
      </c>
      <c r="H2360" s="1" t="s">
        <v>54</v>
      </c>
      <c r="I2360" s="1" t="s">
        <v>12</v>
      </c>
      <c r="J2360" s="1" t="s">
        <v>40</v>
      </c>
      <c r="K2360" s="1" t="s">
        <v>14</v>
      </c>
      <c r="L2360" s="1" t="s">
        <v>12</v>
      </c>
      <c r="M2360" s="1" t="s">
        <v>12</v>
      </c>
      <c r="N2360" s="1">
        <v>30.18</v>
      </c>
      <c r="O2360" s="1" t="s">
        <v>22</v>
      </c>
      <c r="P2360" s="1">
        <v>1.1499999999999999</v>
      </c>
      <c r="Q2360" s="1" t="s">
        <v>16</v>
      </c>
      <c r="R2360" s="1" t="str">
        <f>IF(N2360="","",VLOOKUP(N2360,Prior_levels,2,TRUE))</f>
        <v>H</v>
      </c>
    </row>
    <row r="2361" spans="1:18" x14ac:dyDescent="0.2">
      <c r="A2361" s="1" t="s">
        <v>255</v>
      </c>
      <c r="B2361" s="1" t="s">
        <v>10</v>
      </c>
      <c r="C2361" s="2">
        <v>41155</v>
      </c>
      <c r="D2361" s="1">
        <v>10</v>
      </c>
      <c r="E2361" s="1" t="s">
        <v>34</v>
      </c>
      <c r="H2361" s="1" t="s">
        <v>54</v>
      </c>
      <c r="I2361" s="1" t="s">
        <v>12</v>
      </c>
      <c r="J2361" s="1" t="s">
        <v>40</v>
      </c>
      <c r="K2361" s="1" t="s">
        <v>14</v>
      </c>
      <c r="L2361" s="1" t="s">
        <v>12</v>
      </c>
      <c r="M2361" s="1" t="s">
        <v>12</v>
      </c>
      <c r="N2361" s="1">
        <v>30.18</v>
      </c>
      <c r="O2361" s="1" t="s">
        <v>23</v>
      </c>
      <c r="P2361" s="1">
        <v>-0.63</v>
      </c>
      <c r="Q2361" s="1" t="s">
        <v>16</v>
      </c>
      <c r="R2361" s="1" t="str">
        <f>IF(N2361="","",VLOOKUP(N2361,Prior_levels,2,TRUE))</f>
        <v>H</v>
      </c>
    </row>
    <row r="2362" spans="1:18" x14ac:dyDescent="0.2">
      <c r="A2362" s="1" t="s">
        <v>255</v>
      </c>
      <c r="B2362" s="1" t="s">
        <v>10</v>
      </c>
      <c r="C2362" s="2">
        <v>41155</v>
      </c>
      <c r="D2362" s="1">
        <v>10</v>
      </c>
      <c r="E2362" s="1" t="s">
        <v>34</v>
      </c>
      <c r="H2362" s="1" t="s">
        <v>54</v>
      </c>
      <c r="I2362" s="1" t="s">
        <v>12</v>
      </c>
      <c r="J2362" s="1" t="s">
        <v>40</v>
      </c>
      <c r="K2362" s="1" t="s">
        <v>14</v>
      </c>
      <c r="L2362" s="1" t="s">
        <v>12</v>
      </c>
      <c r="M2362" s="1" t="s">
        <v>12</v>
      </c>
      <c r="N2362" s="1">
        <v>30.18</v>
      </c>
      <c r="O2362" s="1" t="s">
        <v>25</v>
      </c>
      <c r="P2362" s="1">
        <v>0.79</v>
      </c>
      <c r="Q2362" s="1" t="s">
        <v>16</v>
      </c>
      <c r="R2362" s="1" t="str">
        <f>IF(N2362="","",VLOOKUP(N2362,Prior_levels,2,TRUE))</f>
        <v>H</v>
      </c>
    </row>
    <row r="2363" spans="1:18" x14ac:dyDescent="0.2">
      <c r="A2363" s="1" t="s">
        <v>255</v>
      </c>
      <c r="B2363" s="1" t="s">
        <v>10</v>
      </c>
      <c r="C2363" s="2">
        <v>41155</v>
      </c>
      <c r="D2363" s="1">
        <v>10</v>
      </c>
      <c r="E2363" s="1" t="s">
        <v>34</v>
      </c>
      <c r="H2363" s="1" t="s">
        <v>54</v>
      </c>
      <c r="I2363" s="1" t="s">
        <v>12</v>
      </c>
      <c r="J2363" s="1" t="s">
        <v>40</v>
      </c>
      <c r="K2363" s="1" t="s">
        <v>14</v>
      </c>
      <c r="L2363" s="1" t="s">
        <v>12</v>
      </c>
      <c r="M2363" s="1" t="s">
        <v>12</v>
      </c>
      <c r="N2363" s="1">
        <v>30.18</v>
      </c>
      <c r="O2363" s="1" t="s">
        <v>26</v>
      </c>
      <c r="P2363" s="1">
        <v>9</v>
      </c>
      <c r="Q2363" s="1" t="s">
        <v>16</v>
      </c>
      <c r="R2363" s="1" t="str">
        <f>IF(N2363="","",VLOOKUP(N2363,Prior_levels,2,TRUE))</f>
        <v>H</v>
      </c>
    </row>
    <row r="2364" spans="1:18" x14ac:dyDescent="0.2">
      <c r="A2364" s="1" t="s">
        <v>255</v>
      </c>
      <c r="B2364" s="1" t="s">
        <v>10</v>
      </c>
      <c r="C2364" s="2">
        <v>41155</v>
      </c>
      <c r="D2364" s="1">
        <v>10</v>
      </c>
      <c r="E2364" s="1" t="s">
        <v>34</v>
      </c>
      <c r="H2364" s="1" t="s">
        <v>54</v>
      </c>
      <c r="I2364" s="1" t="s">
        <v>12</v>
      </c>
      <c r="J2364" s="1" t="s">
        <v>40</v>
      </c>
      <c r="K2364" s="1" t="s">
        <v>14</v>
      </c>
      <c r="L2364" s="1" t="s">
        <v>12</v>
      </c>
      <c r="M2364" s="1" t="s">
        <v>12</v>
      </c>
      <c r="N2364" s="1">
        <v>30.18</v>
      </c>
      <c r="O2364" s="1" t="s">
        <v>24</v>
      </c>
      <c r="P2364" s="1">
        <v>5.29</v>
      </c>
      <c r="Q2364" s="1" t="s">
        <v>16</v>
      </c>
      <c r="R2364" s="1" t="str">
        <f>IF(N2364="","",VLOOKUP(N2364,Prior_levels,2,TRUE))</f>
        <v>H</v>
      </c>
    </row>
    <row r="2365" spans="1:18" x14ac:dyDescent="0.2">
      <c r="A2365" s="1" t="s">
        <v>255</v>
      </c>
      <c r="B2365" s="1" t="s">
        <v>10</v>
      </c>
      <c r="C2365" s="2">
        <v>41155</v>
      </c>
      <c r="D2365" s="1">
        <v>10</v>
      </c>
      <c r="E2365" s="1" t="s">
        <v>34</v>
      </c>
      <c r="H2365" s="1" t="s">
        <v>54</v>
      </c>
      <c r="I2365" s="1" t="s">
        <v>12</v>
      </c>
      <c r="J2365" s="1" t="s">
        <v>40</v>
      </c>
      <c r="K2365" s="1" t="s">
        <v>14</v>
      </c>
      <c r="L2365" s="1" t="s">
        <v>12</v>
      </c>
      <c r="M2365" s="1" t="s">
        <v>12</v>
      </c>
      <c r="N2365" s="1">
        <v>30.18</v>
      </c>
      <c r="O2365" s="1" t="s">
        <v>32</v>
      </c>
      <c r="P2365" s="1" t="s">
        <v>37</v>
      </c>
      <c r="Q2365" s="1" t="s">
        <v>16</v>
      </c>
      <c r="R2365" s="1" t="str">
        <f>IF(N2365="","",VLOOKUP(N2365,Prior_levels,2,TRUE))</f>
        <v>H</v>
      </c>
    </row>
    <row r="2366" spans="1:18" x14ac:dyDescent="0.2">
      <c r="A2366" s="1" t="s">
        <v>255</v>
      </c>
      <c r="B2366" s="1" t="s">
        <v>10</v>
      </c>
      <c r="C2366" s="2">
        <v>41155</v>
      </c>
      <c r="D2366" s="1">
        <v>10</v>
      </c>
      <c r="E2366" s="1" t="s">
        <v>34</v>
      </c>
      <c r="H2366" s="1" t="s">
        <v>54</v>
      </c>
      <c r="I2366" s="1" t="s">
        <v>12</v>
      </c>
      <c r="J2366" s="1" t="s">
        <v>40</v>
      </c>
      <c r="K2366" s="1" t="s">
        <v>14</v>
      </c>
      <c r="L2366" s="1" t="s">
        <v>12</v>
      </c>
      <c r="M2366" s="1" t="s">
        <v>12</v>
      </c>
      <c r="N2366" s="1">
        <v>30.18</v>
      </c>
      <c r="O2366" s="1" t="s">
        <v>27</v>
      </c>
      <c r="P2366" s="1" t="s">
        <v>37</v>
      </c>
      <c r="Q2366" s="1" t="s">
        <v>16</v>
      </c>
      <c r="R2366" s="1" t="str">
        <f>IF(N2366="","",VLOOKUP(N2366,Prior_levels,2,TRUE))</f>
        <v>H</v>
      </c>
    </row>
    <row r="2367" spans="1:18" x14ac:dyDescent="0.2">
      <c r="A2367" s="1" t="s">
        <v>255</v>
      </c>
      <c r="B2367" s="1" t="s">
        <v>10</v>
      </c>
      <c r="C2367" s="2">
        <v>41155</v>
      </c>
      <c r="D2367" s="1">
        <v>10</v>
      </c>
      <c r="E2367" s="1" t="s">
        <v>34</v>
      </c>
      <c r="H2367" s="1" t="s">
        <v>54</v>
      </c>
      <c r="I2367" s="1" t="s">
        <v>12</v>
      </c>
      <c r="J2367" s="1" t="s">
        <v>40</v>
      </c>
      <c r="K2367" s="1" t="s">
        <v>14</v>
      </c>
      <c r="L2367" s="1" t="s">
        <v>12</v>
      </c>
      <c r="M2367" s="1" t="s">
        <v>12</v>
      </c>
      <c r="N2367" s="1">
        <v>30.18</v>
      </c>
      <c r="O2367" s="1" t="s">
        <v>29</v>
      </c>
      <c r="P2367" s="1" t="s">
        <v>37</v>
      </c>
      <c r="Q2367" s="1" t="s">
        <v>16</v>
      </c>
      <c r="R2367" s="1" t="str">
        <f>IF(N2367="","",VLOOKUP(N2367,Prior_levels,2,TRUE))</f>
        <v>H</v>
      </c>
    </row>
    <row r="2368" spans="1:18" x14ac:dyDescent="0.2">
      <c r="A2368" s="1" t="s">
        <v>255</v>
      </c>
      <c r="B2368" s="1" t="s">
        <v>10</v>
      </c>
      <c r="C2368" s="2">
        <v>41155</v>
      </c>
      <c r="D2368" s="1">
        <v>10</v>
      </c>
      <c r="E2368" s="1" t="s">
        <v>34</v>
      </c>
      <c r="H2368" s="1" t="s">
        <v>54</v>
      </c>
      <c r="I2368" s="1" t="s">
        <v>12</v>
      </c>
      <c r="J2368" s="1" t="s">
        <v>40</v>
      </c>
      <c r="K2368" s="1" t="s">
        <v>14</v>
      </c>
      <c r="L2368" s="1" t="s">
        <v>12</v>
      </c>
      <c r="M2368" s="1" t="s">
        <v>12</v>
      </c>
      <c r="N2368" s="1">
        <v>30.18</v>
      </c>
      <c r="O2368" s="1" t="s">
        <v>30</v>
      </c>
      <c r="P2368" s="1" t="s">
        <v>37</v>
      </c>
      <c r="Q2368" s="1" t="s">
        <v>16</v>
      </c>
      <c r="R2368" s="1" t="str">
        <f>IF(N2368="","",VLOOKUP(N2368,Prior_levels,2,TRUE))</f>
        <v>H</v>
      </c>
    </row>
    <row r="2369" spans="1:18" x14ac:dyDescent="0.2">
      <c r="A2369" s="1" t="s">
        <v>255</v>
      </c>
      <c r="B2369" s="1" t="s">
        <v>10</v>
      </c>
      <c r="C2369" s="2">
        <v>41155</v>
      </c>
      <c r="D2369" s="1">
        <v>10</v>
      </c>
      <c r="E2369" s="1" t="s">
        <v>34</v>
      </c>
      <c r="H2369" s="1" t="s">
        <v>54</v>
      </c>
      <c r="I2369" s="1" t="s">
        <v>12</v>
      </c>
      <c r="J2369" s="1" t="s">
        <v>40</v>
      </c>
      <c r="K2369" s="1" t="s">
        <v>14</v>
      </c>
      <c r="L2369" s="1" t="s">
        <v>12</v>
      </c>
      <c r="M2369" s="1" t="s">
        <v>12</v>
      </c>
      <c r="N2369" s="1">
        <v>30.18</v>
      </c>
      <c r="O2369" s="1" t="s">
        <v>31</v>
      </c>
      <c r="P2369" s="1" t="s">
        <v>37</v>
      </c>
      <c r="Q2369" s="1" t="s">
        <v>16</v>
      </c>
      <c r="R2369" s="1" t="str">
        <f>IF(N2369="","",VLOOKUP(N2369,Prior_levels,2,TRUE))</f>
        <v>H</v>
      </c>
    </row>
    <row r="2370" spans="1:18" x14ac:dyDescent="0.2">
      <c r="A2370" s="1" t="s">
        <v>256</v>
      </c>
      <c r="B2370" s="1" t="s">
        <v>12</v>
      </c>
      <c r="C2370" s="2">
        <v>41155</v>
      </c>
      <c r="D2370" s="1">
        <v>10</v>
      </c>
      <c r="E2370" s="1" t="s">
        <v>39</v>
      </c>
      <c r="H2370" s="1" t="s">
        <v>54</v>
      </c>
      <c r="I2370" s="1" t="s">
        <v>12</v>
      </c>
      <c r="J2370" s="1" t="s">
        <v>40</v>
      </c>
      <c r="K2370" s="1" t="s">
        <v>14</v>
      </c>
      <c r="L2370" s="1" t="s">
        <v>12</v>
      </c>
      <c r="M2370" s="1" t="s">
        <v>12</v>
      </c>
      <c r="N2370" s="1">
        <v>27.12</v>
      </c>
      <c r="O2370" s="1" t="s">
        <v>15</v>
      </c>
      <c r="P2370" s="1">
        <v>5.4</v>
      </c>
      <c r="Q2370" s="1" t="s">
        <v>16</v>
      </c>
      <c r="R2370" s="1" t="str">
        <f>IF(N2370="","",VLOOKUP(N2370,Prior_levels,2,TRUE))</f>
        <v>M</v>
      </c>
    </row>
    <row r="2371" spans="1:18" x14ac:dyDescent="0.2">
      <c r="A2371" s="1" t="s">
        <v>256</v>
      </c>
      <c r="B2371" s="1" t="s">
        <v>12</v>
      </c>
      <c r="C2371" s="2">
        <v>41155</v>
      </c>
      <c r="D2371" s="1">
        <v>10</v>
      </c>
      <c r="E2371" s="1" t="s">
        <v>39</v>
      </c>
      <c r="H2371" s="1" t="s">
        <v>54</v>
      </c>
      <c r="I2371" s="1" t="s">
        <v>12</v>
      </c>
      <c r="J2371" s="1" t="s">
        <v>40</v>
      </c>
      <c r="K2371" s="1" t="s">
        <v>14</v>
      </c>
      <c r="L2371" s="1" t="s">
        <v>12</v>
      </c>
      <c r="M2371" s="1" t="s">
        <v>12</v>
      </c>
      <c r="N2371" s="1">
        <v>27.12</v>
      </c>
      <c r="O2371" s="1" t="s">
        <v>17</v>
      </c>
      <c r="P2371" s="1">
        <v>0.85</v>
      </c>
      <c r="Q2371" s="1" t="s">
        <v>16</v>
      </c>
      <c r="R2371" s="1" t="str">
        <f>IF(N2371="","",VLOOKUP(N2371,Prior_levels,2,TRUE))</f>
        <v>M</v>
      </c>
    </row>
    <row r="2372" spans="1:18" x14ac:dyDescent="0.2">
      <c r="A2372" s="1" t="s">
        <v>256</v>
      </c>
      <c r="B2372" s="1" t="s">
        <v>12</v>
      </c>
      <c r="C2372" s="2">
        <v>41155</v>
      </c>
      <c r="D2372" s="1">
        <v>10</v>
      </c>
      <c r="E2372" s="1" t="s">
        <v>39</v>
      </c>
      <c r="H2372" s="1" t="s">
        <v>54</v>
      </c>
      <c r="I2372" s="1" t="s">
        <v>12</v>
      </c>
      <c r="J2372" s="1" t="s">
        <v>40</v>
      </c>
      <c r="K2372" s="1" t="s">
        <v>14</v>
      </c>
      <c r="L2372" s="1" t="s">
        <v>12</v>
      </c>
      <c r="M2372" s="1" t="s">
        <v>12</v>
      </c>
      <c r="N2372" s="1">
        <v>27.12</v>
      </c>
      <c r="O2372" s="1" t="s">
        <v>18</v>
      </c>
      <c r="P2372" s="1">
        <v>12</v>
      </c>
      <c r="Q2372" s="1" t="s">
        <v>16</v>
      </c>
      <c r="R2372" s="1" t="str">
        <f>IF(N2372="","",VLOOKUP(N2372,Prior_levels,2,TRUE))</f>
        <v>M</v>
      </c>
    </row>
    <row r="2373" spans="1:18" x14ac:dyDescent="0.2">
      <c r="A2373" s="1" t="s">
        <v>256</v>
      </c>
      <c r="B2373" s="1" t="s">
        <v>12</v>
      </c>
      <c r="C2373" s="2">
        <v>41155</v>
      </c>
      <c r="D2373" s="1">
        <v>10</v>
      </c>
      <c r="E2373" s="1" t="s">
        <v>39</v>
      </c>
      <c r="H2373" s="1" t="s">
        <v>54</v>
      </c>
      <c r="I2373" s="1" t="s">
        <v>12</v>
      </c>
      <c r="J2373" s="1" t="s">
        <v>40</v>
      </c>
      <c r="K2373" s="1" t="s">
        <v>14</v>
      </c>
      <c r="L2373" s="1" t="s">
        <v>12</v>
      </c>
      <c r="M2373" s="1" t="s">
        <v>12</v>
      </c>
      <c r="N2373" s="1">
        <v>27.12</v>
      </c>
      <c r="O2373" s="1" t="s">
        <v>19</v>
      </c>
      <c r="P2373" s="1">
        <v>10</v>
      </c>
      <c r="Q2373" s="1" t="s">
        <v>16</v>
      </c>
      <c r="R2373" s="1" t="str">
        <f>IF(N2373="","",VLOOKUP(N2373,Prior_levels,2,TRUE))</f>
        <v>M</v>
      </c>
    </row>
    <row r="2374" spans="1:18" x14ac:dyDescent="0.2">
      <c r="A2374" s="1" t="s">
        <v>256</v>
      </c>
      <c r="B2374" s="1" t="s">
        <v>12</v>
      </c>
      <c r="C2374" s="2">
        <v>41155</v>
      </c>
      <c r="D2374" s="1">
        <v>10</v>
      </c>
      <c r="E2374" s="1" t="s">
        <v>39</v>
      </c>
      <c r="H2374" s="1" t="s">
        <v>54</v>
      </c>
      <c r="I2374" s="1" t="s">
        <v>12</v>
      </c>
      <c r="J2374" s="1" t="s">
        <v>40</v>
      </c>
      <c r="K2374" s="1" t="s">
        <v>14</v>
      </c>
      <c r="L2374" s="1" t="s">
        <v>12</v>
      </c>
      <c r="M2374" s="1" t="s">
        <v>12</v>
      </c>
      <c r="N2374" s="1">
        <v>27.12</v>
      </c>
      <c r="O2374" s="1" t="s">
        <v>20</v>
      </c>
      <c r="P2374" s="1">
        <v>16.5</v>
      </c>
      <c r="Q2374" s="1" t="s">
        <v>16</v>
      </c>
      <c r="R2374" s="1" t="str">
        <f>IF(N2374="","",VLOOKUP(N2374,Prior_levels,2,TRUE))</f>
        <v>M</v>
      </c>
    </row>
    <row r="2375" spans="1:18" x14ac:dyDescent="0.2">
      <c r="A2375" s="1" t="s">
        <v>256</v>
      </c>
      <c r="B2375" s="1" t="s">
        <v>12</v>
      </c>
      <c r="C2375" s="2">
        <v>41155</v>
      </c>
      <c r="D2375" s="1">
        <v>10</v>
      </c>
      <c r="E2375" s="1" t="s">
        <v>39</v>
      </c>
      <c r="H2375" s="1" t="s">
        <v>54</v>
      </c>
      <c r="I2375" s="1" t="s">
        <v>12</v>
      </c>
      <c r="J2375" s="1" t="s">
        <v>40</v>
      </c>
      <c r="K2375" s="1" t="s">
        <v>14</v>
      </c>
      <c r="L2375" s="1" t="s">
        <v>12</v>
      </c>
      <c r="M2375" s="1" t="s">
        <v>12</v>
      </c>
      <c r="N2375" s="1">
        <v>27.12</v>
      </c>
      <c r="O2375" s="1" t="s">
        <v>21</v>
      </c>
      <c r="P2375" s="1">
        <v>15.5</v>
      </c>
      <c r="Q2375" s="1" t="s">
        <v>16</v>
      </c>
      <c r="R2375" s="1" t="str">
        <f>IF(N2375="","",VLOOKUP(N2375,Prior_levels,2,TRUE))</f>
        <v>M</v>
      </c>
    </row>
    <row r="2376" spans="1:18" x14ac:dyDescent="0.2">
      <c r="A2376" s="1" t="s">
        <v>256</v>
      </c>
      <c r="B2376" s="1" t="s">
        <v>12</v>
      </c>
      <c r="C2376" s="2">
        <v>41155</v>
      </c>
      <c r="D2376" s="1">
        <v>10</v>
      </c>
      <c r="E2376" s="1" t="s">
        <v>39</v>
      </c>
      <c r="H2376" s="1" t="s">
        <v>54</v>
      </c>
      <c r="I2376" s="1" t="s">
        <v>12</v>
      </c>
      <c r="J2376" s="1" t="s">
        <v>40</v>
      </c>
      <c r="K2376" s="1" t="s">
        <v>14</v>
      </c>
      <c r="L2376" s="1" t="s">
        <v>12</v>
      </c>
      <c r="M2376" s="1" t="s">
        <v>12</v>
      </c>
      <c r="N2376" s="1">
        <v>27.12</v>
      </c>
      <c r="O2376" s="1" t="s">
        <v>22</v>
      </c>
      <c r="P2376" s="1">
        <v>0.95</v>
      </c>
      <c r="Q2376" s="1" t="s">
        <v>16</v>
      </c>
      <c r="R2376" s="1" t="str">
        <f>IF(N2376="","",VLOOKUP(N2376,Prior_levels,2,TRUE))</f>
        <v>M</v>
      </c>
    </row>
    <row r="2377" spans="1:18" x14ac:dyDescent="0.2">
      <c r="A2377" s="1" t="s">
        <v>256</v>
      </c>
      <c r="B2377" s="1" t="s">
        <v>12</v>
      </c>
      <c r="C2377" s="2">
        <v>41155</v>
      </c>
      <c r="D2377" s="1">
        <v>10</v>
      </c>
      <c r="E2377" s="1" t="s">
        <v>39</v>
      </c>
      <c r="H2377" s="1" t="s">
        <v>54</v>
      </c>
      <c r="I2377" s="1" t="s">
        <v>12</v>
      </c>
      <c r="J2377" s="1" t="s">
        <v>40</v>
      </c>
      <c r="K2377" s="1" t="s">
        <v>14</v>
      </c>
      <c r="L2377" s="1" t="s">
        <v>12</v>
      </c>
      <c r="M2377" s="1" t="s">
        <v>12</v>
      </c>
      <c r="N2377" s="1">
        <v>27.12</v>
      </c>
      <c r="O2377" s="1" t="s">
        <v>23</v>
      </c>
      <c r="P2377" s="1">
        <v>0.36</v>
      </c>
      <c r="Q2377" s="1" t="s">
        <v>16</v>
      </c>
      <c r="R2377" s="1" t="str">
        <f>IF(N2377="","",VLOOKUP(N2377,Prior_levels,2,TRUE))</f>
        <v>M</v>
      </c>
    </row>
    <row r="2378" spans="1:18" x14ac:dyDescent="0.2">
      <c r="A2378" s="1" t="s">
        <v>256</v>
      </c>
      <c r="B2378" s="1" t="s">
        <v>12</v>
      </c>
      <c r="C2378" s="2">
        <v>41155</v>
      </c>
      <c r="D2378" s="1">
        <v>10</v>
      </c>
      <c r="E2378" s="1" t="s">
        <v>39</v>
      </c>
      <c r="H2378" s="1" t="s">
        <v>54</v>
      </c>
      <c r="I2378" s="1" t="s">
        <v>12</v>
      </c>
      <c r="J2378" s="1" t="s">
        <v>40</v>
      </c>
      <c r="K2378" s="1" t="s">
        <v>14</v>
      </c>
      <c r="L2378" s="1" t="s">
        <v>12</v>
      </c>
      <c r="M2378" s="1" t="s">
        <v>12</v>
      </c>
      <c r="N2378" s="1">
        <v>27.12</v>
      </c>
      <c r="O2378" s="1" t="s">
        <v>24</v>
      </c>
      <c r="P2378" s="1">
        <v>5.25</v>
      </c>
      <c r="Q2378" s="1" t="s">
        <v>16</v>
      </c>
      <c r="R2378" s="1" t="str">
        <f>IF(N2378="","",VLOOKUP(N2378,Prior_levels,2,TRUE))</f>
        <v>M</v>
      </c>
    </row>
    <row r="2379" spans="1:18" x14ac:dyDescent="0.2">
      <c r="A2379" s="1" t="s">
        <v>256</v>
      </c>
      <c r="B2379" s="1" t="s">
        <v>12</v>
      </c>
      <c r="C2379" s="2">
        <v>41155</v>
      </c>
      <c r="D2379" s="1">
        <v>10</v>
      </c>
      <c r="E2379" s="1" t="s">
        <v>39</v>
      </c>
      <c r="H2379" s="1" t="s">
        <v>54</v>
      </c>
      <c r="I2379" s="1" t="s">
        <v>12</v>
      </c>
      <c r="J2379" s="1" t="s">
        <v>40</v>
      </c>
      <c r="K2379" s="1" t="s">
        <v>14</v>
      </c>
      <c r="L2379" s="1" t="s">
        <v>12</v>
      </c>
      <c r="M2379" s="1" t="s">
        <v>12</v>
      </c>
      <c r="N2379" s="1">
        <v>27.12</v>
      </c>
      <c r="O2379" s="1" t="s">
        <v>25</v>
      </c>
      <c r="P2379" s="1">
        <v>0.61</v>
      </c>
      <c r="Q2379" s="1" t="s">
        <v>16</v>
      </c>
      <c r="R2379" s="1" t="str">
        <f>IF(N2379="","",VLOOKUP(N2379,Prior_levels,2,TRUE))</f>
        <v>M</v>
      </c>
    </row>
    <row r="2380" spans="1:18" x14ac:dyDescent="0.2">
      <c r="A2380" s="1" t="s">
        <v>256</v>
      </c>
      <c r="B2380" s="1" t="s">
        <v>12</v>
      </c>
      <c r="C2380" s="2">
        <v>41155</v>
      </c>
      <c r="D2380" s="1">
        <v>10</v>
      </c>
      <c r="E2380" s="1" t="s">
        <v>39</v>
      </c>
      <c r="H2380" s="1" t="s">
        <v>54</v>
      </c>
      <c r="I2380" s="1" t="s">
        <v>12</v>
      </c>
      <c r="J2380" s="1" t="s">
        <v>40</v>
      </c>
      <c r="K2380" s="1" t="s">
        <v>14</v>
      </c>
      <c r="L2380" s="1" t="s">
        <v>12</v>
      </c>
      <c r="M2380" s="1" t="s">
        <v>12</v>
      </c>
      <c r="N2380" s="1">
        <v>27.12</v>
      </c>
      <c r="O2380" s="1" t="s">
        <v>26</v>
      </c>
      <c r="P2380" s="1">
        <v>10</v>
      </c>
      <c r="Q2380" s="1" t="s">
        <v>16</v>
      </c>
      <c r="R2380" s="1" t="str">
        <f>IF(N2380="","",VLOOKUP(N2380,Prior_levels,2,TRUE))</f>
        <v>M</v>
      </c>
    </row>
    <row r="2381" spans="1:18" x14ac:dyDescent="0.2">
      <c r="A2381" s="1" t="s">
        <v>256</v>
      </c>
      <c r="B2381" s="1" t="s">
        <v>12</v>
      </c>
      <c r="C2381" s="2">
        <v>41155</v>
      </c>
      <c r="D2381" s="1">
        <v>10</v>
      </c>
      <c r="E2381" s="1" t="s">
        <v>39</v>
      </c>
      <c r="H2381" s="1" t="s">
        <v>54</v>
      </c>
      <c r="I2381" s="1" t="s">
        <v>12</v>
      </c>
      <c r="J2381" s="1" t="s">
        <v>40</v>
      </c>
      <c r="K2381" s="1" t="s">
        <v>14</v>
      </c>
      <c r="L2381" s="1" t="s">
        <v>12</v>
      </c>
      <c r="M2381" s="1" t="s">
        <v>12</v>
      </c>
      <c r="N2381" s="1">
        <v>27.12</v>
      </c>
      <c r="O2381" s="1" t="s">
        <v>27</v>
      </c>
      <c r="P2381" s="1" t="s">
        <v>37</v>
      </c>
      <c r="Q2381" s="1" t="s">
        <v>16</v>
      </c>
      <c r="R2381" s="1" t="str">
        <f>IF(N2381="","",VLOOKUP(N2381,Prior_levels,2,TRUE))</f>
        <v>M</v>
      </c>
    </row>
    <row r="2382" spans="1:18" x14ac:dyDescent="0.2">
      <c r="A2382" s="1" t="s">
        <v>256</v>
      </c>
      <c r="B2382" s="1" t="s">
        <v>12</v>
      </c>
      <c r="C2382" s="2">
        <v>41155</v>
      </c>
      <c r="D2382" s="1">
        <v>10</v>
      </c>
      <c r="E2382" s="1" t="s">
        <v>39</v>
      </c>
      <c r="H2382" s="1" t="s">
        <v>54</v>
      </c>
      <c r="I2382" s="1" t="s">
        <v>12</v>
      </c>
      <c r="J2382" s="1" t="s">
        <v>40</v>
      </c>
      <c r="K2382" s="1" t="s">
        <v>14</v>
      </c>
      <c r="L2382" s="1" t="s">
        <v>12</v>
      </c>
      <c r="M2382" s="1" t="s">
        <v>12</v>
      </c>
      <c r="N2382" s="1">
        <v>27.12</v>
      </c>
      <c r="O2382" s="1" t="s">
        <v>29</v>
      </c>
      <c r="P2382" s="1" t="s">
        <v>37</v>
      </c>
      <c r="Q2382" s="1" t="s">
        <v>16</v>
      </c>
      <c r="R2382" s="1" t="str">
        <f>IF(N2382="","",VLOOKUP(N2382,Prior_levels,2,TRUE))</f>
        <v>M</v>
      </c>
    </row>
    <row r="2383" spans="1:18" x14ac:dyDescent="0.2">
      <c r="A2383" s="1" t="s">
        <v>256</v>
      </c>
      <c r="B2383" s="1" t="s">
        <v>12</v>
      </c>
      <c r="C2383" s="2">
        <v>41155</v>
      </c>
      <c r="D2383" s="1">
        <v>10</v>
      </c>
      <c r="E2383" s="1" t="s">
        <v>39</v>
      </c>
      <c r="H2383" s="1" t="s">
        <v>54</v>
      </c>
      <c r="I2383" s="1" t="s">
        <v>12</v>
      </c>
      <c r="J2383" s="1" t="s">
        <v>40</v>
      </c>
      <c r="K2383" s="1" t="s">
        <v>14</v>
      </c>
      <c r="L2383" s="1" t="s">
        <v>12</v>
      </c>
      <c r="M2383" s="1" t="s">
        <v>12</v>
      </c>
      <c r="N2383" s="1">
        <v>27.12</v>
      </c>
      <c r="O2383" s="1" t="s">
        <v>30</v>
      </c>
      <c r="P2383" s="1" t="s">
        <v>37</v>
      </c>
      <c r="Q2383" s="1" t="s">
        <v>16</v>
      </c>
      <c r="R2383" s="1" t="str">
        <f>IF(N2383="","",VLOOKUP(N2383,Prior_levels,2,TRUE))</f>
        <v>M</v>
      </c>
    </row>
    <row r="2384" spans="1:18" x14ac:dyDescent="0.2">
      <c r="A2384" s="1" t="s">
        <v>256</v>
      </c>
      <c r="B2384" s="1" t="s">
        <v>12</v>
      </c>
      <c r="C2384" s="2">
        <v>41155</v>
      </c>
      <c r="D2384" s="1">
        <v>10</v>
      </c>
      <c r="E2384" s="1" t="s">
        <v>39</v>
      </c>
      <c r="H2384" s="1" t="s">
        <v>54</v>
      </c>
      <c r="I2384" s="1" t="s">
        <v>12</v>
      </c>
      <c r="J2384" s="1" t="s">
        <v>40</v>
      </c>
      <c r="K2384" s="1" t="s">
        <v>14</v>
      </c>
      <c r="L2384" s="1" t="s">
        <v>12</v>
      </c>
      <c r="M2384" s="1" t="s">
        <v>12</v>
      </c>
      <c r="N2384" s="1">
        <v>27.12</v>
      </c>
      <c r="O2384" s="1" t="s">
        <v>31</v>
      </c>
      <c r="P2384" s="1" t="s">
        <v>37</v>
      </c>
      <c r="Q2384" s="1" t="s">
        <v>16</v>
      </c>
      <c r="R2384" s="1" t="str">
        <f>IF(N2384="","",VLOOKUP(N2384,Prior_levels,2,TRUE))</f>
        <v>M</v>
      </c>
    </row>
    <row r="2385" spans="1:18" x14ac:dyDescent="0.2">
      <c r="A2385" s="1" t="s">
        <v>256</v>
      </c>
      <c r="B2385" s="1" t="s">
        <v>12</v>
      </c>
      <c r="C2385" s="2">
        <v>41155</v>
      </c>
      <c r="D2385" s="1">
        <v>10</v>
      </c>
      <c r="E2385" s="1" t="s">
        <v>39</v>
      </c>
      <c r="H2385" s="1" t="s">
        <v>54</v>
      </c>
      <c r="I2385" s="1" t="s">
        <v>12</v>
      </c>
      <c r="J2385" s="1" t="s">
        <v>40</v>
      </c>
      <c r="K2385" s="1" t="s">
        <v>14</v>
      </c>
      <c r="L2385" s="1" t="s">
        <v>12</v>
      </c>
      <c r="M2385" s="1" t="s">
        <v>12</v>
      </c>
      <c r="N2385" s="1">
        <v>27.12</v>
      </c>
      <c r="O2385" s="1" t="s">
        <v>32</v>
      </c>
      <c r="P2385" s="1" t="s">
        <v>37</v>
      </c>
      <c r="Q2385" s="1" t="s">
        <v>16</v>
      </c>
      <c r="R2385" s="1" t="str">
        <f>IF(N2385="","",VLOOKUP(N2385,Prior_levels,2,TRUE))</f>
        <v>M</v>
      </c>
    </row>
    <row r="2386" spans="1:18" x14ac:dyDescent="0.2">
      <c r="A2386" s="1" t="s">
        <v>257</v>
      </c>
      <c r="B2386" s="1" t="s">
        <v>12</v>
      </c>
      <c r="C2386" s="2">
        <v>41155</v>
      </c>
      <c r="D2386" s="1">
        <v>10</v>
      </c>
      <c r="E2386" s="1" t="s">
        <v>39</v>
      </c>
      <c r="H2386" s="1" t="s">
        <v>54</v>
      </c>
      <c r="I2386" s="1" t="s">
        <v>12</v>
      </c>
      <c r="J2386" s="1" t="s">
        <v>258</v>
      </c>
      <c r="K2386" s="1" t="s">
        <v>14</v>
      </c>
      <c r="L2386" s="1" t="s">
        <v>12</v>
      </c>
      <c r="M2386" s="1" t="s">
        <v>12</v>
      </c>
      <c r="N2386" s="1">
        <v>21.12</v>
      </c>
      <c r="O2386" s="1" t="s">
        <v>15</v>
      </c>
      <c r="P2386" s="1">
        <v>3.7</v>
      </c>
      <c r="Q2386" s="1" t="s">
        <v>16</v>
      </c>
      <c r="R2386" s="1" t="str">
        <f>IF(N2386="","",VLOOKUP(N2386,Prior_levels,2,TRUE))</f>
        <v>L</v>
      </c>
    </row>
    <row r="2387" spans="1:18" x14ac:dyDescent="0.2">
      <c r="A2387" s="1" t="s">
        <v>257</v>
      </c>
      <c r="B2387" s="1" t="s">
        <v>12</v>
      </c>
      <c r="C2387" s="2">
        <v>41155</v>
      </c>
      <c r="D2387" s="1">
        <v>10</v>
      </c>
      <c r="E2387" s="1" t="s">
        <v>39</v>
      </c>
      <c r="H2387" s="1" t="s">
        <v>54</v>
      </c>
      <c r="I2387" s="1" t="s">
        <v>12</v>
      </c>
      <c r="J2387" s="1" t="s">
        <v>258</v>
      </c>
      <c r="K2387" s="1" t="s">
        <v>14</v>
      </c>
      <c r="L2387" s="1" t="s">
        <v>12</v>
      </c>
      <c r="M2387" s="1" t="s">
        <v>12</v>
      </c>
      <c r="N2387" s="1">
        <v>21.12</v>
      </c>
      <c r="O2387" s="1" t="s">
        <v>17</v>
      </c>
      <c r="P2387" s="1">
        <v>0.87</v>
      </c>
      <c r="Q2387" s="1" t="s">
        <v>16</v>
      </c>
      <c r="R2387" s="1" t="str">
        <f>IF(N2387="","",VLOOKUP(N2387,Prior_levels,2,TRUE))</f>
        <v>L</v>
      </c>
    </row>
    <row r="2388" spans="1:18" x14ac:dyDescent="0.2">
      <c r="A2388" s="1" t="s">
        <v>257</v>
      </c>
      <c r="B2388" s="1" t="s">
        <v>12</v>
      </c>
      <c r="C2388" s="2">
        <v>41155</v>
      </c>
      <c r="D2388" s="1">
        <v>10</v>
      </c>
      <c r="E2388" s="1" t="s">
        <v>39</v>
      </c>
      <c r="H2388" s="1" t="s">
        <v>54</v>
      </c>
      <c r="I2388" s="1" t="s">
        <v>12</v>
      </c>
      <c r="J2388" s="1" t="s">
        <v>258</v>
      </c>
      <c r="K2388" s="1" t="s">
        <v>14</v>
      </c>
      <c r="L2388" s="1" t="s">
        <v>12</v>
      </c>
      <c r="M2388" s="1" t="s">
        <v>12</v>
      </c>
      <c r="N2388" s="1">
        <v>21.12</v>
      </c>
      <c r="O2388" s="1" t="s">
        <v>18</v>
      </c>
      <c r="P2388" s="1">
        <v>10</v>
      </c>
      <c r="Q2388" s="1" t="s">
        <v>16</v>
      </c>
      <c r="R2388" s="1" t="str">
        <f>IF(N2388="","",VLOOKUP(N2388,Prior_levels,2,TRUE))</f>
        <v>L</v>
      </c>
    </row>
    <row r="2389" spans="1:18" x14ac:dyDescent="0.2">
      <c r="A2389" s="1" t="s">
        <v>257</v>
      </c>
      <c r="B2389" s="1" t="s">
        <v>12</v>
      </c>
      <c r="C2389" s="2">
        <v>41155</v>
      </c>
      <c r="D2389" s="1">
        <v>10</v>
      </c>
      <c r="E2389" s="1" t="s">
        <v>39</v>
      </c>
      <c r="H2389" s="1" t="s">
        <v>54</v>
      </c>
      <c r="I2389" s="1" t="s">
        <v>12</v>
      </c>
      <c r="J2389" s="1" t="s">
        <v>258</v>
      </c>
      <c r="K2389" s="1" t="s">
        <v>14</v>
      </c>
      <c r="L2389" s="1" t="s">
        <v>12</v>
      </c>
      <c r="M2389" s="1" t="s">
        <v>12</v>
      </c>
      <c r="N2389" s="1">
        <v>21.12</v>
      </c>
      <c r="O2389" s="1" t="s">
        <v>19</v>
      </c>
      <c r="P2389" s="1">
        <v>6</v>
      </c>
      <c r="Q2389" s="1" t="s">
        <v>16</v>
      </c>
      <c r="R2389" s="1" t="str">
        <f>IF(N2389="","",VLOOKUP(N2389,Prior_levels,2,TRUE))</f>
        <v>L</v>
      </c>
    </row>
    <row r="2390" spans="1:18" x14ac:dyDescent="0.2">
      <c r="A2390" s="1" t="s">
        <v>257</v>
      </c>
      <c r="B2390" s="1" t="s">
        <v>12</v>
      </c>
      <c r="C2390" s="2">
        <v>41155</v>
      </c>
      <c r="D2390" s="1">
        <v>10</v>
      </c>
      <c r="E2390" s="1" t="s">
        <v>39</v>
      </c>
      <c r="H2390" s="1" t="s">
        <v>54</v>
      </c>
      <c r="I2390" s="1" t="s">
        <v>12</v>
      </c>
      <c r="J2390" s="1" t="s">
        <v>258</v>
      </c>
      <c r="K2390" s="1" t="s">
        <v>14</v>
      </c>
      <c r="L2390" s="1" t="s">
        <v>12</v>
      </c>
      <c r="M2390" s="1" t="s">
        <v>12</v>
      </c>
      <c r="N2390" s="1">
        <v>21.12</v>
      </c>
      <c r="O2390" s="1" t="s">
        <v>20</v>
      </c>
      <c r="P2390" s="1">
        <v>8</v>
      </c>
      <c r="Q2390" s="1" t="s">
        <v>16</v>
      </c>
      <c r="R2390" s="1" t="str">
        <f>IF(N2390="","",VLOOKUP(N2390,Prior_levels,2,TRUE))</f>
        <v>L</v>
      </c>
    </row>
    <row r="2391" spans="1:18" x14ac:dyDescent="0.2">
      <c r="A2391" s="1" t="s">
        <v>257</v>
      </c>
      <c r="B2391" s="1" t="s">
        <v>12</v>
      </c>
      <c r="C2391" s="2">
        <v>41155</v>
      </c>
      <c r="D2391" s="1">
        <v>10</v>
      </c>
      <c r="E2391" s="1" t="s">
        <v>39</v>
      </c>
      <c r="H2391" s="1" t="s">
        <v>54</v>
      </c>
      <c r="I2391" s="1" t="s">
        <v>12</v>
      </c>
      <c r="J2391" s="1" t="s">
        <v>258</v>
      </c>
      <c r="K2391" s="1" t="s">
        <v>14</v>
      </c>
      <c r="L2391" s="1" t="s">
        <v>12</v>
      </c>
      <c r="M2391" s="1" t="s">
        <v>12</v>
      </c>
      <c r="N2391" s="1">
        <v>21.12</v>
      </c>
      <c r="O2391" s="1" t="s">
        <v>21</v>
      </c>
      <c r="P2391" s="1">
        <v>13</v>
      </c>
      <c r="Q2391" s="1" t="s">
        <v>16</v>
      </c>
      <c r="R2391" s="1" t="str">
        <f>IF(N2391="","",VLOOKUP(N2391,Prior_levels,2,TRUE))</f>
        <v>L</v>
      </c>
    </row>
    <row r="2392" spans="1:18" x14ac:dyDescent="0.2">
      <c r="A2392" s="1" t="s">
        <v>257</v>
      </c>
      <c r="B2392" s="1" t="s">
        <v>12</v>
      </c>
      <c r="C2392" s="2">
        <v>41155</v>
      </c>
      <c r="D2392" s="1">
        <v>10</v>
      </c>
      <c r="E2392" s="1" t="s">
        <v>39</v>
      </c>
      <c r="H2392" s="1" t="s">
        <v>54</v>
      </c>
      <c r="I2392" s="1" t="s">
        <v>12</v>
      </c>
      <c r="J2392" s="1" t="s">
        <v>258</v>
      </c>
      <c r="K2392" s="1" t="s">
        <v>14</v>
      </c>
      <c r="L2392" s="1" t="s">
        <v>12</v>
      </c>
      <c r="M2392" s="1" t="s">
        <v>12</v>
      </c>
      <c r="N2392" s="1">
        <v>21.12</v>
      </c>
      <c r="O2392" s="1" t="s">
        <v>22</v>
      </c>
      <c r="P2392" s="1">
        <v>1.34</v>
      </c>
      <c r="Q2392" s="1" t="s">
        <v>16</v>
      </c>
      <c r="R2392" s="1" t="str">
        <f>IF(N2392="","",VLOOKUP(N2392,Prior_levels,2,TRUE))</f>
        <v>L</v>
      </c>
    </row>
    <row r="2393" spans="1:18" x14ac:dyDescent="0.2">
      <c r="A2393" s="1" t="s">
        <v>257</v>
      </c>
      <c r="B2393" s="1" t="s">
        <v>12</v>
      </c>
      <c r="C2393" s="2">
        <v>41155</v>
      </c>
      <c r="D2393" s="1">
        <v>10</v>
      </c>
      <c r="E2393" s="1" t="s">
        <v>39</v>
      </c>
      <c r="H2393" s="1" t="s">
        <v>54</v>
      </c>
      <c r="I2393" s="1" t="s">
        <v>12</v>
      </c>
      <c r="J2393" s="1" t="s">
        <v>258</v>
      </c>
      <c r="K2393" s="1" t="s">
        <v>14</v>
      </c>
      <c r="L2393" s="1" t="s">
        <v>12</v>
      </c>
      <c r="M2393" s="1" t="s">
        <v>12</v>
      </c>
      <c r="N2393" s="1">
        <v>21.12</v>
      </c>
      <c r="O2393" s="1" t="s">
        <v>23</v>
      </c>
      <c r="P2393" s="1">
        <v>0.39</v>
      </c>
      <c r="Q2393" s="1" t="s">
        <v>16</v>
      </c>
      <c r="R2393" s="1" t="str">
        <f>IF(N2393="","",VLOOKUP(N2393,Prior_levels,2,TRUE))</f>
        <v>L</v>
      </c>
    </row>
    <row r="2394" spans="1:18" x14ac:dyDescent="0.2">
      <c r="A2394" s="1" t="s">
        <v>257</v>
      </c>
      <c r="B2394" s="1" t="s">
        <v>12</v>
      </c>
      <c r="C2394" s="2">
        <v>41155</v>
      </c>
      <c r="D2394" s="1">
        <v>10</v>
      </c>
      <c r="E2394" s="1" t="s">
        <v>39</v>
      </c>
      <c r="H2394" s="1" t="s">
        <v>54</v>
      </c>
      <c r="I2394" s="1" t="s">
        <v>12</v>
      </c>
      <c r="J2394" s="1" t="s">
        <v>258</v>
      </c>
      <c r="K2394" s="1" t="s">
        <v>14</v>
      </c>
      <c r="L2394" s="1" t="s">
        <v>12</v>
      </c>
      <c r="M2394" s="1" t="s">
        <v>12</v>
      </c>
      <c r="N2394" s="1">
        <v>21.12</v>
      </c>
      <c r="O2394" s="1" t="s">
        <v>25</v>
      </c>
      <c r="P2394" s="1">
        <v>1.8</v>
      </c>
      <c r="Q2394" s="1" t="s">
        <v>16</v>
      </c>
      <c r="R2394" s="1" t="str">
        <f>IF(N2394="","",VLOOKUP(N2394,Prior_levels,2,TRUE))</f>
        <v>L</v>
      </c>
    </row>
    <row r="2395" spans="1:18" x14ac:dyDescent="0.2">
      <c r="A2395" s="1" t="s">
        <v>257</v>
      </c>
      <c r="B2395" s="1" t="s">
        <v>12</v>
      </c>
      <c r="C2395" s="2">
        <v>41155</v>
      </c>
      <c r="D2395" s="1">
        <v>10</v>
      </c>
      <c r="E2395" s="1" t="s">
        <v>39</v>
      </c>
      <c r="H2395" s="1" t="s">
        <v>54</v>
      </c>
      <c r="I2395" s="1" t="s">
        <v>12</v>
      </c>
      <c r="J2395" s="1" t="s">
        <v>258</v>
      </c>
      <c r="K2395" s="1" t="s">
        <v>14</v>
      </c>
      <c r="L2395" s="1" t="s">
        <v>12</v>
      </c>
      <c r="M2395" s="1" t="s">
        <v>12</v>
      </c>
      <c r="N2395" s="1">
        <v>21.12</v>
      </c>
      <c r="O2395" s="1" t="s">
        <v>26</v>
      </c>
      <c r="P2395" s="1">
        <v>5</v>
      </c>
      <c r="Q2395" s="1" t="s">
        <v>16</v>
      </c>
      <c r="R2395" s="1" t="str">
        <f>IF(N2395="","",VLOOKUP(N2395,Prior_levels,2,TRUE))</f>
        <v>L</v>
      </c>
    </row>
    <row r="2396" spans="1:18" x14ac:dyDescent="0.2">
      <c r="A2396" s="1" t="s">
        <v>257</v>
      </c>
      <c r="B2396" s="1" t="s">
        <v>12</v>
      </c>
      <c r="C2396" s="2">
        <v>41155</v>
      </c>
      <c r="D2396" s="1">
        <v>10</v>
      </c>
      <c r="E2396" s="1" t="s">
        <v>39</v>
      </c>
      <c r="H2396" s="1" t="s">
        <v>54</v>
      </c>
      <c r="I2396" s="1" t="s">
        <v>12</v>
      </c>
      <c r="J2396" s="1" t="s">
        <v>258</v>
      </c>
      <c r="K2396" s="1" t="s">
        <v>14</v>
      </c>
      <c r="L2396" s="1" t="s">
        <v>12</v>
      </c>
      <c r="M2396" s="1" t="s">
        <v>12</v>
      </c>
      <c r="N2396" s="1">
        <v>21.12</v>
      </c>
      <c r="O2396" s="1" t="s">
        <v>24</v>
      </c>
      <c r="P2396" s="1">
        <v>3.49</v>
      </c>
      <c r="Q2396" s="1" t="s">
        <v>16</v>
      </c>
      <c r="R2396" s="1" t="str">
        <f>IF(N2396="","",VLOOKUP(N2396,Prior_levels,2,TRUE))</f>
        <v>L</v>
      </c>
    </row>
    <row r="2397" spans="1:18" x14ac:dyDescent="0.2">
      <c r="A2397" s="1" t="s">
        <v>257</v>
      </c>
      <c r="B2397" s="1" t="s">
        <v>12</v>
      </c>
      <c r="C2397" s="2">
        <v>41155</v>
      </c>
      <c r="D2397" s="1">
        <v>10</v>
      </c>
      <c r="E2397" s="1" t="s">
        <v>39</v>
      </c>
      <c r="H2397" s="1" t="s">
        <v>54</v>
      </c>
      <c r="I2397" s="1" t="s">
        <v>12</v>
      </c>
      <c r="J2397" s="1" t="s">
        <v>258</v>
      </c>
      <c r="K2397" s="1" t="s">
        <v>14</v>
      </c>
      <c r="L2397" s="1" t="s">
        <v>12</v>
      </c>
      <c r="M2397" s="1" t="s">
        <v>12</v>
      </c>
      <c r="N2397" s="1">
        <v>21.12</v>
      </c>
      <c r="O2397" s="1" t="s">
        <v>27</v>
      </c>
      <c r="P2397" s="1" t="s">
        <v>28</v>
      </c>
      <c r="Q2397" s="1" t="s">
        <v>16</v>
      </c>
      <c r="R2397" s="1" t="str">
        <f>IF(N2397="","",VLOOKUP(N2397,Prior_levels,2,TRUE))</f>
        <v>L</v>
      </c>
    </row>
    <row r="2398" spans="1:18" x14ac:dyDescent="0.2">
      <c r="A2398" s="1" t="s">
        <v>257</v>
      </c>
      <c r="B2398" s="1" t="s">
        <v>12</v>
      </c>
      <c r="C2398" s="2">
        <v>41155</v>
      </c>
      <c r="D2398" s="1">
        <v>10</v>
      </c>
      <c r="E2398" s="1" t="s">
        <v>39</v>
      </c>
      <c r="H2398" s="1" t="s">
        <v>54</v>
      </c>
      <c r="I2398" s="1" t="s">
        <v>12</v>
      </c>
      <c r="J2398" s="1" t="s">
        <v>258</v>
      </c>
      <c r="K2398" s="1" t="s">
        <v>14</v>
      </c>
      <c r="L2398" s="1" t="s">
        <v>12</v>
      </c>
      <c r="M2398" s="1" t="s">
        <v>12</v>
      </c>
      <c r="N2398" s="1">
        <v>21.12</v>
      </c>
      <c r="O2398" s="1" t="s">
        <v>29</v>
      </c>
      <c r="P2398" s="1" t="s">
        <v>37</v>
      </c>
      <c r="Q2398" s="1" t="s">
        <v>16</v>
      </c>
      <c r="R2398" s="1" t="str">
        <f>IF(N2398="","",VLOOKUP(N2398,Prior_levels,2,TRUE))</f>
        <v>L</v>
      </c>
    </row>
    <row r="2399" spans="1:18" x14ac:dyDescent="0.2">
      <c r="A2399" s="1" t="s">
        <v>257</v>
      </c>
      <c r="B2399" s="1" t="s">
        <v>12</v>
      </c>
      <c r="C2399" s="2">
        <v>41155</v>
      </c>
      <c r="D2399" s="1">
        <v>10</v>
      </c>
      <c r="E2399" s="1" t="s">
        <v>39</v>
      </c>
      <c r="H2399" s="1" t="s">
        <v>54</v>
      </c>
      <c r="I2399" s="1" t="s">
        <v>12</v>
      </c>
      <c r="J2399" s="1" t="s">
        <v>258</v>
      </c>
      <c r="K2399" s="1" t="s">
        <v>14</v>
      </c>
      <c r="L2399" s="1" t="s">
        <v>12</v>
      </c>
      <c r="M2399" s="1" t="s">
        <v>12</v>
      </c>
      <c r="N2399" s="1">
        <v>21.12</v>
      </c>
      <c r="O2399" s="1" t="s">
        <v>30</v>
      </c>
      <c r="P2399" s="1" t="s">
        <v>28</v>
      </c>
      <c r="Q2399" s="1" t="s">
        <v>16</v>
      </c>
      <c r="R2399" s="1" t="str">
        <f>IF(N2399="","",VLOOKUP(N2399,Prior_levels,2,TRUE))</f>
        <v>L</v>
      </c>
    </row>
    <row r="2400" spans="1:18" x14ac:dyDescent="0.2">
      <c r="A2400" s="1" t="s">
        <v>257</v>
      </c>
      <c r="B2400" s="1" t="s">
        <v>12</v>
      </c>
      <c r="C2400" s="2">
        <v>41155</v>
      </c>
      <c r="D2400" s="1">
        <v>10</v>
      </c>
      <c r="E2400" s="1" t="s">
        <v>39</v>
      </c>
      <c r="H2400" s="1" t="s">
        <v>54</v>
      </c>
      <c r="I2400" s="1" t="s">
        <v>12</v>
      </c>
      <c r="J2400" s="1" t="s">
        <v>258</v>
      </c>
      <c r="K2400" s="1" t="s">
        <v>14</v>
      </c>
      <c r="L2400" s="1" t="s">
        <v>12</v>
      </c>
      <c r="M2400" s="1" t="s">
        <v>12</v>
      </c>
      <c r="N2400" s="1">
        <v>21.12</v>
      </c>
      <c r="O2400" s="1" t="s">
        <v>31</v>
      </c>
      <c r="P2400" s="1" t="s">
        <v>28</v>
      </c>
      <c r="Q2400" s="1" t="s">
        <v>16</v>
      </c>
      <c r="R2400" s="1" t="str">
        <f>IF(N2400="","",VLOOKUP(N2400,Prior_levels,2,TRUE))</f>
        <v>L</v>
      </c>
    </row>
    <row r="2401" spans="1:18" x14ac:dyDescent="0.2">
      <c r="A2401" s="1" t="s">
        <v>257</v>
      </c>
      <c r="B2401" s="1" t="s">
        <v>12</v>
      </c>
      <c r="C2401" s="2">
        <v>41155</v>
      </c>
      <c r="D2401" s="1">
        <v>10</v>
      </c>
      <c r="E2401" s="1" t="s">
        <v>39</v>
      </c>
      <c r="H2401" s="1" t="s">
        <v>54</v>
      </c>
      <c r="I2401" s="1" t="s">
        <v>12</v>
      </c>
      <c r="J2401" s="1" t="s">
        <v>258</v>
      </c>
      <c r="K2401" s="1" t="s">
        <v>14</v>
      </c>
      <c r="L2401" s="1" t="s">
        <v>12</v>
      </c>
      <c r="M2401" s="1" t="s">
        <v>12</v>
      </c>
      <c r="N2401" s="1">
        <v>21.12</v>
      </c>
      <c r="O2401" s="1" t="s">
        <v>32</v>
      </c>
      <c r="P2401" s="1" t="s">
        <v>28</v>
      </c>
      <c r="Q2401" s="1" t="s">
        <v>16</v>
      </c>
      <c r="R2401" s="1" t="str">
        <f>IF(N2401="","",VLOOKUP(N2401,Prior_levels,2,TRUE))</f>
        <v>L</v>
      </c>
    </row>
    <row r="2402" spans="1:18" x14ac:dyDescent="0.2">
      <c r="A2402" s="1" t="s">
        <v>259</v>
      </c>
      <c r="B2402" s="1" t="s">
        <v>12</v>
      </c>
      <c r="C2402" s="2">
        <v>41155</v>
      </c>
      <c r="D2402" s="1">
        <v>10</v>
      </c>
      <c r="E2402" s="1" t="s">
        <v>47</v>
      </c>
      <c r="F2402" s="1" t="s">
        <v>28</v>
      </c>
      <c r="H2402" s="1" t="s">
        <v>48</v>
      </c>
      <c r="I2402" s="1" t="s">
        <v>12</v>
      </c>
      <c r="J2402" s="1" t="s">
        <v>215</v>
      </c>
      <c r="K2402" s="1" t="s">
        <v>169</v>
      </c>
      <c r="L2402" s="1" t="s">
        <v>12</v>
      </c>
      <c r="M2402" s="1" t="s">
        <v>12</v>
      </c>
      <c r="N2402" s="1">
        <v>27.12</v>
      </c>
      <c r="O2402" s="1" t="s">
        <v>15</v>
      </c>
      <c r="P2402" s="1">
        <v>4.5</v>
      </c>
      <c r="Q2402" s="1" t="s">
        <v>16</v>
      </c>
      <c r="R2402" s="1" t="str">
        <f>IF(N2402="","",VLOOKUP(N2402,Prior_levels,2,TRUE))</f>
        <v>M</v>
      </c>
    </row>
    <row r="2403" spans="1:18" x14ac:dyDescent="0.2">
      <c r="A2403" s="1" t="s">
        <v>259</v>
      </c>
      <c r="B2403" s="1" t="s">
        <v>12</v>
      </c>
      <c r="C2403" s="2">
        <v>41155</v>
      </c>
      <c r="D2403" s="1">
        <v>10</v>
      </c>
      <c r="E2403" s="1" t="s">
        <v>47</v>
      </c>
      <c r="F2403" s="1" t="s">
        <v>28</v>
      </c>
      <c r="H2403" s="1" t="s">
        <v>48</v>
      </c>
      <c r="I2403" s="1" t="s">
        <v>12</v>
      </c>
      <c r="J2403" s="1" t="s">
        <v>215</v>
      </c>
      <c r="K2403" s="1" t="s">
        <v>169</v>
      </c>
      <c r="L2403" s="1" t="s">
        <v>12</v>
      </c>
      <c r="M2403" s="1" t="s">
        <v>12</v>
      </c>
      <c r="N2403" s="1">
        <v>27.12</v>
      </c>
      <c r="O2403" s="1" t="s">
        <v>17</v>
      </c>
      <c r="P2403" s="1">
        <v>-0.05</v>
      </c>
      <c r="Q2403" s="1" t="s">
        <v>16</v>
      </c>
      <c r="R2403" s="1" t="str">
        <f>IF(N2403="","",VLOOKUP(N2403,Prior_levels,2,TRUE))</f>
        <v>M</v>
      </c>
    </row>
    <row r="2404" spans="1:18" x14ac:dyDescent="0.2">
      <c r="A2404" s="1" t="s">
        <v>259</v>
      </c>
      <c r="B2404" s="1" t="s">
        <v>12</v>
      </c>
      <c r="C2404" s="2">
        <v>41155</v>
      </c>
      <c r="D2404" s="1">
        <v>10</v>
      </c>
      <c r="E2404" s="1" t="s">
        <v>47</v>
      </c>
      <c r="F2404" s="1" t="s">
        <v>28</v>
      </c>
      <c r="H2404" s="1" t="s">
        <v>48</v>
      </c>
      <c r="I2404" s="1" t="s">
        <v>12</v>
      </c>
      <c r="J2404" s="1" t="s">
        <v>215</v>
      </c>
      <c r="K2404" s="1" t="s">
        <v>169</v>
      </c>
      <c r="L2404" s="1" t="s">
        <v>12</v>
      </c>
      <c r="M2404" s="1" t="s">
        <v>12</v>
      </c>
      <c r="N2404" s="1">
        <v>27.12</v>
      </c>
      <c r="O2404" s="1" t="s">
        <v>18</v>
      </c>
      <c r="P2404" s="1">
        <v>10</v>
      </c>
      <c r="Q2404" s="1" t="s">
        <v>16</v>
      </c>
      <c r="R2404" s="1" t="str">
        <f>IF(N2404="","",VLOOKUP(N2404,Prior_levels,2,TRUE))</f>
        <v>M</v>
      </c>
    </row>
    <row r="2405" spans="1:18" x14ac:dyDescent="0.2">
      <c r="A2405" s="1" t="s">
        <v>259</v>
      </c>
      <c r="B2405" s="1" t="s">
        <v>12</v>
      </c>
      <c r="C2405" s="2">
        <v>41155</v>
      </c>
      <c r="D2405" s="1">
        <v>10</v>
      </c>
      <c r="E2405" s="1" t="s">
        <v>47</v>
      </c>
      <c r="F2405" s="1" t="s">
        <v>28</v>
      </c>
      <c r="H2405" s="1" t="s">
        <v>48</v>
      </c>
      <c r="I2405" s="1" t="s">
        <v>12</v>
      </c>
      <c r="J2405" s="1" t="s">
        <v>215</v>
      </c>
      <c r="K2405" s="1" t="s">
        <v>169</v>
      </c>
      <c r="L2405" s="1" t="s">
        <v>12</v>
      </c>
      <c r="M2405" s="1" t="s">
        <v>12</v>
      </c>
      <c r="N2405" s="1">
        <v>27.12</v>
      </c>
      <c r="O2405" s="1" t="s">
        <v>19</v>
      </c>
      <c r="P2405" s="1">
        <v>10</v>
      </c>
      <c r="Q2405" s="1" t="s">
        <v>16</v>
      </c>
      <c r="R2405" s="1" t="str">
        <f>IF(N2405="","",VLOOKUP(N2405,Prior_levels,2,TRUE))</f>
        <v>M</v>
      </c>
    </row>
    <row r="2406" spans="1:18" x14ac:dyDescent="0.2">
      <c r="A2406" s="1" t="s">
        <v>259</v>
      </c>
      <c r="B2406" s="1" t="s">
        <v>12</v>
      </c>
      <c r="C2406" s="2">
        <v>41155</v>
      </c>
      <c r="D2406" s="1">
        <v>10</v>
      </c>
      <c r="E2406" s="1" t="s">
        <v>47</v>
      </c>
      <c r="F2406" s="1" t="s">
        <v>28</v>
      </c>
      <c r="H2406" s="1" t="s">
        <v>48</v>
      </c>
      <c r="I2406" s="1" t="s">
        <v>12</v>
      </c>
      <c r="J2406" s="1" t="s">
        <v>215</v>
      </c>
      <c r="K2406" s="1" t="s">
        <v>169</v>
      </c>
      <c r="L2406" s="1" t="s">
        <v>12</v>
      </c>
      <c r="M2406" s="1" t="s">
        <v>12</v>
      </c>
      <c r="N2406" s="1">
        <v>27.12</v>
      </c>
      <c r="O2406" s="1" t="s">
        <v>20</v>
      </c>
      <c r="P2406" s="1">
        <v>12</v>
      </c>
      <c r="Q2406" s="1" t="s">
        <v>16</v>
      </c>
      <c r="R2406" s="1" t="str">
        <f>IF(N2406="","",VLOOKUP(N2406,Prior_levels,2,TRUE))</f>
        <v>M</v>
      </c>
    </row>
    <row r="2407" spans="1:18" x14ac:dyDescent="0.2">
      <c r="A2407" s="1" t="s">
        <v>259</v>
      </c>
      <c r="B2407" s="1" t="s">
        <v>12</v>
      </c>
      <c r="C2407" s="2">
        <v>41155</v>
      </c>
      <c r="D2407" s="1">
        <v>10</v>
      </c>
      <c r="E2407" s="1" t="s">
        <v>47</v>
      </c>
      <c r="F2407" s="1" t="s">
        <v>28</v>
      </c>
      <c r="H2407" s="1" t="s">
        <v>48</v>
      </c>
      <c r="I2407" s="1" t="s">
        <v>12</v>
      </c>
      <c r="J2407" s="1" t="s">
        <v>215</v>
      </c>
      <c r="K2407" s="1" t="s">
        <v>169</v>
      </c>
      <c r="L2407" s="1" t="s">
        <v>12</v>
      </c>
      <c r="M2407" s="1" t="s">
        <v>12</v>
      </c>
      <c r="N2407" s="1">
        <v>27.12</v>
      </c>
      <c r="O2407" s="1" t="s">
        <v>21</v>
      </c>
      <c r="P2407" s="1">
        <v>13</v>
      </c>
      <c r="Q2407" s="1" t="s">
        <v>16</v>
      </c>
      <c r="R2407" s="1" t="str">
        <f>IF(N2407="","",VLOOKUP(N2407,Prior_levels,2,TRUE))</f>
        <v>M</v>
      </c>
    </row>
    <row r="2408" spans="1:18" x14ac:dyDescent="0.2">
      <c r="A2408" s="1" t="s">
        <v>259</v>
      </c>
      <c r="B2408" s="1" t="s">
        <v>12</v>
      </c>
      <c r="C2408" s="2">
        <v>41155</v>
      </c>
      <c r="D2408" s="1">
        <v>10</v>
      </c>
      <c r="E2408" s="1" t="s">
        <v>47</v>
      </c>
      <c r="F2408" s="1" t="s">
        <v>28</v>
      </c>
      <c r="H2408" s="1" t="s">
        <v>48</v>
      </c>
      <c r="I2408" s="1" t="s">
        <v>12</v>
      </c>
      <c r="J2408" s="1" t="s">
        <v>215</v>
      </c>
      <c r="K2408" s="1" t="s">
        <v>169</v>
      </c>
      <c r="L2408" s="1" t="s">
        <v>12</v>
      </c>
      <c r="M2408" s="1" t="s">
        <v>12</v>
      </c>
      <c r="N2408" s="1">
        <v>27.12</v>
      </c>
      <c r="O2408" s="1" t="s">
        <v>22</v>
      </c>
      <c r="P2408" s="1">
        <v>-0.05</v>
      </c>
      <c r="Q2408" s="1" t="s">
        <v>16</v>
      </c>
      <c r="R2408" s="1" t="str">
        <f>IF(N2408="","",VLOOKUP(N2408,Prior_levels,2,TRUE))</f>
        <v>M</v>
      </c>
    </row>
    <row r="2409" spans="1:18" x14ac:dyDescent="0.2">
      <c r="A2409" s="1" t="s">
        <v>259</v>
      </c>
      <c r="B2409" s="1" t="s">
        <v>12</v>
      </c>
      <c r="C2409" s="2">
        <v>41155</v>
      </c>
      <c r="D2409" s="1">
        <v>10</v>
      </c>
      <c r="E2409" s="1" t="s">
        <v>47</v>
      </c>
      <c r="F2409" s="1" t="s">
        <v>28</v>
      </c>
      <c r="H2409" s="1" t="s">
        <v>48</v>
      </c>
      <c r="I2409" s="1" t="s">
        <v>12</v>
      </c>
      <c r="J2409" s="1" t="s">
        <v>215</v>
      </c>
      <c r="K2409" s="1" t="s">
        <v>169</v>
      </c>
      <c r="L2409" s="1" t="s">
        <v>12</v>
      </c>
      <c r="M2409" s="1" t="s">
        <v>12</v>
      </c>
      <c r="N2409" s="1">
        <v>27.12</v>
      </c>
      <c r="O2409" s="1" t="s">
        <v>23</v>
      </c>
      <c r="P2409" s="1">
        <v>0.36</v>
      </c>
      <c r="Q2409" s="1" t="s">
        <v>16</v>
      </c>
      <c r="R2409" s="1" t="str">
        <f>IF(N2409="","",VLOOKUP(N2409,Prior_levels,2,TRUE))</f>
        <v>M</v>
      </c>
    </row>
    <row r="2410" spans="1:18" x14ac:dyDescent="0.2">
      <c r="A2410" s="1" t="s">
        <v>259</v>
      </c>
      <c r="B2410" s="1" t="s">
        <v>12</v>
      </c>
      <c r="C2410" s="2">
        <v>41155</v>
      </c>
      <c r="D2410" s="1">
        <v>10</v>
      </c>
      <c r="E2410" s="1" t="s">
        <v>47</v>
      </c>
      <c r="F2410" s="1" t="s">
        <v>28</v>
      </c>
      <c r="H2410" s="1" t="s">
        <v>48</v>
      </c>
      <c r="I2410" s="1" t="s">
        <v>12</v>
      </c>
      <c r="J2410" s="1" t="s">
        <v>215</v>
      </c>
      <c r="K2410" s="1" t="s">
        <v>169</v>
      </c>
      <c r="L2410" s="1" t="s">
        <v>12</v>
      </c>
      <c r="M2410" s="1" t="s">
        <v>12</v>
      </c>
      <c r="N2410" s="1">
        <v>27.12</v>
      </c>
      <c r="O2410" s="1" t="s">
        <v>25</v>
      </c>
      <c r="P2410" s="1">
        <v>-1.89</v>
      </c>
      <c r="Q2410" s="1" t="s">
        <v>16</v>
      </c>
      <c r="R2410" s="1" t="str">
        <f>IF(N2410="","",VLOOKUP(N2410,Prior_levels,2,TRUE))</f>
        <v>M</v>
      </c>
    </row>
    <row r="2411" spans="1:18" x14ac:dyDescent="0.2">
      <c r="A2411" s="1" t="s">
        <v>259</v>
      </c>
      <c r="B2411" s="1" t="s">
        <v>12</v>
      </c>
      <c r="C2411" s="2">
        <v>41155</v>
      </c>
      <c r="D2411" s="1">
        <v>10</v>
      </c>
      <c r="E2411" s="1" t="s">
        <v>47</v>
      </c>
      <c r="F2411" s="1" t="s">
        <v>28</v>
      </c>
      <c r="H2411" s="1" t="s">
        <v>48</v>
      </c>
      <c r="I2411" s="1" t="s">
        <v>12</v>
      </c>
      <c r="J2411" s="1" t="s">
        <v>215</v>
      </c>
      <c r="K2411" s="1" t="s">
        <v>169</v>
      </c>
      <c r="L2411" s="1" t="s">
        <v>12</v>
      </c>
      <c r="M2411" s="1" t="s">
        <v>12</v>
      </c>
      <c r="N2411" s="1">
        <v>27.12</v>
      </c>
      <c r="O2411" s="1" t="s">
        <v>26</v>
      </c>
      <c r="P2411" s="1">
        <v>8</v>
      </c>
      <c r="Q2411" s="1" t="s">
        <v>16</v>
      </c>
      <c r="R2411" s="1" t="str">
        <f>IF(N2411="","",VLOOKUP(N2411,Prior_levels,2,TRUE))</f>
        <v>M</v>
      </c>
    </row>
    <row r="2412" spans="1:18" x14ac:dyDescent="0.2">
      <c r="A2412" s="1" t="s">
        <v>259</v>
      </c>
      <c r="B2412" s="1" t="s">
        <v>12</v>
      </c>
      <c r="C2412" s="2">
        <v>41155</v>
      </c>
      <c r="D2412" s="1">
        <v>10</v>
      </c>
      <c r="E2412" s="1" t="s">
        <v>47</v>
      </c>
      <c r="F2412" s="1" t="s">
        <v>28</v>
      </c>
      <c r="H2412" s="1" t="s">
        <v>48</v>
      </c>
      <c r="I2412" s="1" t="s">
        <v>12</v>
      </c>
      <c r="J2412" s="1" t="s">
        <v>215</v>
      </c>
      <c r="K2412" s="1" t="s">
        <v>169</v>
      </c>
      <c r="L2412" s="1" t="s">
        <v>12</v>
      </c>
      <c r="M2412" s="1" t="s">
        <v>12</v>
      </c>
      <c r="N2412" s="1">
        <v>27.12</v>
      </c>
      <c r="O2412" s="1" t="s">
        <v>24</v>
      </c>
      <c r="P2412" s="1">
        <v>0.75</v>
      </c>
      <c r="Q2412" s="1" t="s">
        <v>16</v>
      </c>
      <c r="R2412" s="1" t="str">
        <f>IF(N2412="","",VLOOKUP(N2412,Prior_levels,2,TRUE))</f>
        <v>M</v>
      </c>
    </row>
    <row r="2413" spans="1:18" x14ac:dyDescent="0.2">
      <c r="A2413" s="1" t="s">
        <v>259</v>
      </c>
      <c r="B2413" s="1" t="s">
        <v>12</v>
      </c>
      <c r="C2413" s="2">
        <v>41155</v>
      </c>
      <c r="D2413" s="1">
        <v>10</v>
      </c>
      <c r="E2413" s="1" t="s">
        <v>47</v>
      </c>
      <c r="F2413" s="1" t="s">
        <v>28</v>
      </c>
      <c r="H2413" s="1" t="s">
        <v>48</v>
      </c>
      <c r="I2413" s="1" t="s">
        <v>12</v>
      </c>
      <c r="J2413" s="1" t="s">
        <v>215</v>
      </c>
      <c r="K2413" s="1" t="s">
        <v>169</v>
      </c>
      <c r="L2413" s="1" t="s">
        <v>12</v>
      </c>
      <c r="M2413" s="1" t="s">
        <v>12</v>
      </c>
      <c r="N2413" s="1">
        <v>27.12</v>
      </c>
      <c r="O2413" s="1" t="s">
        <v>27</v>
      </c>
      <c r="P2413" s="1" t="s">
        <v>37</v>
      </c>
      <c r="Q2413" s="1" t="s">
        <v>16</v>
      </c>
      <c r="R2413" s="1" t="str">
        <f>IF(N2413="","",VLOOKUP(N2413,Prior_levels,2,TRUE))</f>
        <v>M</v>
      </c>
    </row>
    <row r="2414" spans="1:18" x14ac:dyDescent="0.2">
      <c r="A2414" s="1" t="s">
        <v>259</v>
      </c>
      <c r="B2414" s="1" t="s">
        <v>12</v>
      </c>
      <c r="C2414" s="2">
        <v>41155</v>
      </c>
      <c r="D2414" s="1">
        <v>10</v>
      </c>
      <c r="E2414" s="1" t="s">
        <v>47</v>
      </c>
      <c r="F2414" s="1" t="s">
        <v>28</v>
      </c>
      <c r="H2414" s="1" t="s">
        <v>48</v>
      </c>
      <c r="I2414" s="1" t="s">
        <v>12</v>
      </c>
      <c r="J2414" s="1" t="s">
        <v>215</v>
      </c>
      <c r="K2414" s="1" t="s">
        <v>169</v>
      </c>
      <c r="L2414" s="1" t="s">
        <v>12</v>
      </c>
      <c r="M2414" s="1" t="s">
        <v>12</v>
      </c>
      <c r="N2414" s="1">
        <v>27.12</v>
      </c>
      <c r="O2414" s="1" t="s">
        <v>29</v>
      </c>
      <c r="P2414" s="1" t="s">
        <v>37</v>
      </c>
      <c r="Q2414" s="1" t="s">
        <v>16</v>
      </c>
      <c r="R2414" s="1" t="str">
        <f>IF(N2414="","",VLOOKUP(N2414,Prior_levels,2,TRUE))</f>
        <v>M</v>
      </c>
    </row>
    <row r="2415" spans="1:18" x14ac:dyDescent="0.2">
      <c r="A2415" s="1" t="s">
        <v>259</v>
      </c>
      <c r="B2415" s="1" t="s">
        <v>12</v>
      </c>
      <c r="C2415" s="2">
        <v>41155</v>
      </c>
      <c r="D2415" s="1">
        <v>10</v>
      </c>
      <c r="E2415" s="1" t="s">
        <v>47</v>
      </c>
      <c r="F2415" s="1" t="s">
        <v>28</v>
      </c>
      <c r="H2415" s="1" t="s">
        <v>48</v>
      </c>
      <c r="I2415" s="1" t="s">
        <v>12</v>
      </c>
      <c r="J2415" s="1" t="s">
        <v>215</v>
      </c>
      <c r="K2415" s="1" t="s">
        <v>169</v>
      </c>
      <c r="L2415" s="1" t="s">
        <v>12</v>
      </c>
      <c r="M2415" s="1" t="s">
        <v>12</v>
      </c>
      <c r="N2415" s="1">
        <v>27.12</v>
      </c>
      <c r="O2415" s="1" t="s">
        <v>30</v>
      </c>
      <c r="P2415" s="1" t="s">
        <v>37</v>
      </c>
      <c r="Q2415" s="1" t="s">
        <v>16</v>
      </c>
      <c r="R2415" s="1" t="str">
        <f>IF(N2415="","",VLOOKUP(N2415,Prior_levels,2,TRUE))</f>
        <v>M</v>
      </c>
    </row>
    <row r="2416" spans="1:18" x14ac:dyDescent="0.2">
      <c r="A2416" s="1" t="s">
        <v>259</v>
      </c>
      <c r="B2416" s="1" t="s">
        <v>12</v>
      </c>
      <c r="C2416" s="2">
        <v>41155</v>
      </c>
      <c r="D2416" s="1">
        <v>10</v>
      </c>
      <c r="E2416" s="1" t="s">
        <v>47</v>
      </c>
      <c r="F2416" s="1" t="s">
        <v>28</v>
      </c>
      <c r="H2416" s="1" t="s">
        <v>48</v>
      </c>
      <c r="I2416" s="1" t="s">
        <v>12</v>
      </c>
      <c r="J2416" s="1" t="s">
        <v>215</v>
      </c>
      <c r="K2416" s="1" t="s">
        <v>169</v>
      </c>
      <c r="L2416" s="1" t="s">
        <v>12</v>
      </c>
      <c r="M2416" s="1" t="s">
        <v>12</v>
      </c>
      <c r="N2416" s="1">
        <v>27.12</v>
      </c>
      <c r="O2416" s="1" t="s">
        <v>31</v>
      </c>
      <c r="P2416" s="1" t="s">
        <v>28</v>
      </c>
      <c r="Q2416" s="1" t="s">
        <v>16</v>
      </c>
      <c r="R2416" s="1" t="str">
        <f>IF(N2416="","",VLOOKUP(N2416,Prior_levels,2,TRUE))</f>
        <v>M</v>
      </c>
    </row>
    <row r="2417" spans="1:18" x14ac:dyDescent="0.2">
      <c r="A2417" s="1" t="s">
        <v>259</v>
      </c>
      <c r="B2417" s="1" t="s">
        <v>12</v>
      </c>
      <c r="C2417" s="2">
        <v>41155</v>
      </c>
      <c r="D2417" s="1">
        <v>10</v>
      </c>
      <c r="E2417" s="1" t="s">
        <v>47</v>
      </c>
      <c r="F2417" s="1" t="s">
        <v>28</v>
      </c>
      <c r="H2417" s="1" t="s">
        <v>48</v>
      </c>
      <c r="I2417" s="1" t="s">
        <v>12</v>
      </c>
      <c r="J2417" s="1" t="s">
        <v>215</v>
      </c>
      <c r="K2417" s="1" t="s">
        <v>169</v>
      </c>
      <c r="L2417" s="1" t="s">
        <v>12</v>
      </c>
      <c r="M2417" s="1" t="s">
        <v>12</v>
      </c>
      <c r="N2417" s="1">
        <v>27.12</v>
      </c>
      <c r="O2417" s="1" t="s">
        <v>32</v>
      </c>
      <c r="P2417" s="1" t="s">
        <v>37</v>
      </c>
      <c r="Q2417" s="1" t="s">
        <v>16</v>
      </c>
      <c r="R2417" s="1" t="str">
        <f>IF(N2417="","",VLOOKUP(N2417,Prior_levels,2,TRUE))</f>
        <v>M</v>
      </c>
    </row>
    <row r="2418" spans="1:18" x14ac:dyDescent="0.2">
      <c r="A2418" s="1" t="s">
        <v>260</v>
      </c>
      <c r="B2418" s="1" t="s">
        <v>12</v>
      </c>
      <c r="C2418" s="2">
        <v>41155</v>
      </c>
      <c r="D2418" s="1">
        <v>10</v>
      </c>
      <c r="E2418" s="1" t="s">
        <v>11</v>
      </c>
      <c r="H2418" s="1" t="s">
        <v>54</v>
      </c>
      <c r="I2418" s="1" t="s">
        <v>12</v>
      </c>
      <c r="J2418" s="1" t="s">
        <v>196</v>
      </c>
      <c r="K2418" s="1" t="s">
        <v>14</v>
      </c>
      <c r="L2418" s="1" t="s">
        <v>12</v>
      </c>
      <c r="M2418" s="1" t="s">
        <v>12</v>
      </c>
      <c r="N2418" s="1">
        <v>21.12</v>
      </c>
      <c r="O2418" s="1" t="s">
        <v>15</v>
      </c>
      <c r="P2418" s="1">
        <v>2.95</v>
      </c>
      <c r="Q2418" s="1" t="s">
        <v>16</v>
      </c>
      <c r="R2418" s="1" t="str">
        <f>IF(N2418="","",VLOOKUP(N2418,Prior_levels,2,TRUE))</f>
        <v>L</v>
      </c>
    </row>
    <row r="2419" spans="1:18" x14ac:dyDescent="0.2">
      <c r="A2419" s="1" t="s">
        <v>260</v>
      </c>
      <c r="B2419" s="1" t="s">
        <v>12</v>
      </c>
      <c r="C2419" s="2">
        <v>41155</v>
      </c>
      <c r="D2419" s="1">
        <v>10</v>
      </c>
      <c r="E2419" s="1" t="s">
        <v>11</v>
      </c>
      <c r="H2419" s="1" t="s">
        <v>54</v>
      </c>
      <c r="I2419" s="1" t="s">
        <v>12</v>
      </c>
      <c r="J2419" s="1" t="s">
        <v>196</v>
      </c>
      <c r="K2419" s="1" t="s">
        <v>14</v>
      </c>
      <c r="L2419" s="1" t="s">
        <v>12</v>
      </c>
      <c r="M2419" s="1" t="s">
        <v>12</v>
      </c>
      <c r="N2419" s="1">
        <v>21.12</v>
      </c>
      <c r="O2419" s="1" t="s">
        <v>17</v>
      </c>
      <c r="P2419" s="1">
        <v>0.12</v>
      </c>
      <c r="Q2419" s="1" t="s">
        <v>16</v>
      </c>
      <c r="R2419" s="1" t="str">
        <f>IF(N2419="","",VLOOKUP(N2419,Prior_levels,2,TRUE))</f>
        <v>L</v>
      </c>
    </row>
    <row r="2420" spans="1:18" x14ac:dyDescent="0.2">
      <c r="A2420" s="1" t="s">
        <v>260</v>
      </c>
      <c r="B2420" s="1" t="s">
        <v>12</v>
      </c>
      <c r="C2420" s="2">
        <v>41155</v>
      </c>
      <c r="D2420" s="1">
        <v>10</v>
      </c>
      <c r="E2420" s="1" t="s">
        <v>11</v>
      </c>
      <c r="H2420" s="1" t="s">
        <v>54</v>
      </c>
      <c r="I2420" s="1" t="s">
        <v>12</v>
      </c>
      <c r="J2420" s="1" t="s">
        <v>196</v>
      </c>
      <c r="K2420" s="1" t="s">
        <v>14</v>
      </c>
      <c r="L2420" s="1" t="s">
        <v>12</v>
      </c>
      <c r="M2420" s="1" t="s">
        <v>12</v>
      </c>
      <c r="N2420" s="1">
        <v>21.12</v>
      </c>
      <c r="O2420" s="1" t="s">
        <v>18</v>
      </c>
      <c r="P2420" s="1">
        <v>8</v>
      </c>
      <c r="Q2420" s="1" t="s">
        <v>16</v>
      </c>
      <c r="R2420" s="1" t="str">
        <f>IF(N2420="","",VLOOKUP(N2420,Prior_levels,2,TRUE))</f>
        <v>L</v>
      </c>
    </row>
    <row r="2421" spans="1:18" x14ac:dyDescent="0.2">
      <c r="A2421" s="1" t="s">
        <v>260</v>
      </c>
      <c r="B2421" s="1" t="s">
        <v>12</v>
      </c>
      <c r="C2421" s="2">
        <v>41155</v>
      </c>
      <c r="D2421" s="1">
        <v>10</v>
      </c>
      <c r="E2421" s="1" t="s">
        <v>11</v>
      </c>
      <c r="H2421" s="1" t="s">
        <v>54</v>
      </c>
      <c r="I2421" s="1" t="s">
        <v>12</v>
      </c>
      <c r="J2421" s="1" t="s">
        <v>196</v>
      </c>
      <c r="K2421" s="1" t="s">
        <v>14</v>
      </c>
      <c r="L2421" s="1" t="s">
        <v>12</v>
      </c>
      <c r="M2421" s="1" t="s">
        <v>12</v>
      </c>
      <c r="N2421" s="1">
        <v>21.12</v>
      </c>
      <c r="O2421" s="1" t="s">
        <v>19</v>
      </c>
      <c r="P2421" s="1">
        <v>4</v>
      </c>
      <c r="Q2421" s="1" t="s">
        <v>16</v>
      </c>
      <c r="R2421" s="1" t="str">
        <f>IF(N2421="","",VLOOKUP(N2421,Prior_levels,2,TRUE))</f>
        <v>L</v>
      </c>
    </row>
    <row r="2422" spans="1:18" x14ac:dyDescent="0.2">
      <c r="A2422" s="1" t="s">
        <v>260</v>
      </c>
      <c r="B2422" s="1" t="s">
        <v>12</v>
      </c>
      <c r="C2422" s="2">
        <v>41155</v>
      </c>
      <c r="D2422" s="1">
        <v>10</v>
      </c>
      <c r="E2422" s="1" t="s">
        <v>11</v>
      </c>
      <c r="H2422" s="1" t="s">
        <v>54</v>
      </c>
      <c r="I2422" s="1" t="s">
        <v>12</v>
      </c>
      <c r="J2422" s="1" t="s">
        <v>196</v>
      </c>
      <c r="K2422" s="1" t="s">
        <v>14</v>
      </c>
      <c r="L2422" s="1" t="s">
        <v>12</v>
      </c>
      <c r="M2422" s="1" t="s">
        <v>12</v>
      </c>
      <c r="N2422" s="1">
        <v>21.12</v>
      </c>
      <c r="O2422" s="1" t="s">
        <v>20</v>
      </c>
      <c r="P2422" s="1">
        <v>7.5</v>
      </c>
      <c r="Q2422" s="1" t="s">
        <v>16</v>
      </c>
      <c r="R2422" s="1" t="str">
        <f>IF(N2422="","",VLOOKUP(N2422,Prior_levels,2,TRUE))</f>
        <v>L</v>
      </c>
    </row>
    <row r="2423" spans="1:18" x14ac:dyDescent="0.2">
      <c r="A2423" s="1" t="s">
        <v>260</v>
      </c>
      <c r="B2423" s="1" t="s">
        <v>12</v>
      </c>
      <c r="C2423" s="2">
        <v>41155</v>
      </c>
      <c r="D2423" s="1">
        <v>10</v>
      </c>
      <c r="E2423" s="1" t="s">
        <v>11</v>
      </c>
      <c r="H2423" s="1" t="s">
        <v>54</v>
      </c>
      <c r="I2423" s="1" t="s">
        <v>12</v>
      </c>
      <c r="J2423" s="1" t="s">
        <v>196</v>
      </c>
      <c r="K2423" s="1" t="s">
        <v>14</v>
      </c>
      <c r="L2423" s="1" t="s">
        <v>12</v>
      </c>
      <c r="M2423" s="1" t="s">
        <v>12</v>
      </c>
      <c r="N2423" s="1">
        <v>21.12</v>
      </c>
      <c r="O2423" s="1" t="s">
        <v>21</v>
      </c>
      <c r="P2423" s="1">
        <v>10</v>
      </c>
      <c r="Q2423" s="1" t="s">
        <v>16</v>
      </c>
      <c r="R2423" s="1" t="str">
        <f>IF(N2423="","",VLOOKUP(N2423,Prior_levels,2,TRUE))</f>
        <v>L</v>
      </c>
    </row>
    <row r="2424" spans="1:18" x14ac:dyDescent="0.2">
      <c r="A2424" s="1" t="s">
        <v>260</v>
      </c>
      <c r="B2424" s="1" t="s">
        <v>12</v>
      </c>
      <c r="C2424" s="2">
        <v>41155</v>
      </c>
      <c r="D2424" s="1">
        <v>10</v>
      </c>
      <c r="E2424" s="1" t="s">
        <v>11</v>
      </c>
      <c r="H2424" s="1" t="s">
        <v>54</v>
      </c>
      <c r="I2424" s="1" t="s">
        <v>12</v>
      </c>
      <c r="J2424" s="1" t="s">
        <v>196</v>
      </c>
      <c r="K2424" s="1" t="s">
        <v>14</v>
      </c>
      <c r="L2424" s="1" t="s">
        <v>12</v>
      </c>
      <c r="M2424" s="1" t="s">
        <v>12</v>
      </c>
      <c r="N2424" s="1">
        <v>21.12</v>
      </c>
      <c r="O2424" s="1" t="s">
        <v>22</v>
      </c>
      <c r="P2424" s="1">
        <v>0.34</v>
      </c>
      <c r="Q2424" s="1" t="s">
        <v>16</v>
      </c>
      <c r="R2424" s="1" t="str">
        <f>IF(N2424="","",VLOOKUP(N2424,Prior_levels,2,TRUE))</f>
        <v>L</v>
      </c>
    </row>
    <row r="2425" spans="1:18" x14ac:dyDescent="0.2">
      <c r="A2425" s="1" t="s">
        <v>260</v>
      </c>
      <c r="B2425" s="1" t="s">
        <v>12</v>
      </c>
      <c r="C2425" s="2">
        <v>41155</v>
      </c>
      <c r="D2425" s="1">
        <v>10</v>
      </c>
      <c r="E2425" s="1" t="s">
        <v>11</v>
      </c>
      <c r="H2425" s="1" t="s">
        <v>54</v>
      </c>
      <c r="I2425" s="1" t="s">
        <v>12</v>
      </c>
      <c r="J2425" s="1" t="s">
        <v>196</v>
      </c>
      <c r="K2425" s="1" t="s">
        <v>14</v>
      </c>
      <c r="L2425" s="1" t="s">
        <v>12</v>
      </c>
      <c r="M2425" s="1" t="s">
        <v>12</v>
      </c>
      <c r="N2425" s="1">
        <v>21.12</v>
      </c>
      <c r="O2425" s="1" t="s">
        <v>23</v>
      </c>
      <c r="P2425" s="1">
        <v>-0.61</v>
      </c>
      <c r="Q2425" s="1" t="s">
        <v>16</v>
      </c>
      <c r="R2425" s="1" t="str">
        <f>IF(N2425="","",VLOOKUP(N2425,Prior_levels,2,TRUE))</f>
        <v>L</v>
      </c>
    </row>
    <row r="2426" spans="1:18" x14ac:dyDescent="0.2">
      <c r="A2426" s="1" t="s">
        <v>260</v>
      </c>
      <c r="B2426" s="1" t="s">
        <v>12</v>
      </c>
      <c r="C2426" s="2">
        <v>41155</v>
      </c>
      <c r="D2426" s="1">
        <v>10</v>
      </c>
      <c r="E2426" s="1" t="s">
        <v>11</v>
      </c>
      <c r="H2426" s="1" t="s">
        <v>54</v>
      </c>
      <c r="I2426" s="1" t="s">
        <v>12</v>
      </c>
      <c r="J2426" s="1" t="s">
        <v>196</v>
      </c>
      <c r="K2426" s="1" t="s">
        <v>14</v>
      </c>
      <c r="L2426" s="1" t="s">
        <v>12</v>
      </c>
      <c r="M2426" s="1" t="s">
        <v>12</v>
      </c>
      <c r="N2426" s="1">
        <v>21.12</v>
      </c>
      <c r="O2426" s="1" t="s">
        <v>24</v>
      </c>
      <c r="P2426" s="1">
        <v>2.99</v>
      </c>
      <c r="Q2426" s="1" t="s">
        <v>16</v>
      </c>
      <c r="R2426" s="1" t="str">
        <f>IF(N2426="","",VLOOKUP(N2426,Prior_levels,2,TRUE))</f>
        <v>L</v>
      </c>
    </row>
    <row r="2427" spans="1:18" x14ac:dyDescent="0.2">
      <c r="A2427" s="1" t="s">
        <v>260</v>
      </c>
      <c r="B2427" s="1" t="s">
        <v>12</v>
      </c>
      <c r="C2427" s="2">
        <v>41155</v>
      </c>
      <c r="D2427" s="1">
        <v>10</v>
      </c>
      <c r="E2427" s="1" t="s">
        <v>11</v>
      </c>
      <c r="H2427" s="1" t="s">
        <v>54</v>
      </c>
      <c r="I2427" s="1" t="s">
        <v>12</v>
      </c>
      <c r="J2427" s="1" t="s">
        <v>196</v>
      </c>
      <c r="K2427" s="1" t="s">
        <v>14</v>
      </c>
      <c r="L2427" s="1" t="s">
        <v>12</v>
      </c>
      <c r="M2427" s="1" t="s">
        <v>12</v>
      </c>
      <c r="N2427" s="1">
        <v>21.12</v>
      </c>
      <c r="O2427" s="1" t="s">
        <v>25</v>
      </c>
      <c r="P2427" s="1">
        <v>-1.2</v>
      </c>
      <c r="Q2427" s="1" t="s">
        <v>16</v>
      </c>
      <c r="R2427" s="1" t="str">
        <f>IF(N2427="","",VLOOKUP(N2427,Prior_levels,2,TRUE))</f>
        <v>L</v>
      </c>
    </row>
    <row r="2428" spans="1:18" x14ac:dyDescent="0.2">
      <c r="A2428" s="1" t="s">
        <v>260</v>
      </c>
      <c r="B2428" s="1" t="s">
        <v>12</v>
      </c>
      <c r="C2428" s="2">
        <v>41155</v>
      </c>
      <c r="D2428" s="1">
        <v>10</v>
      </c>
      <c r="E2428" s="1" t="s">
        <v>11</v>
      </c>
      <c r="H2428" s="1" t="s">
        <v>54</v>
      </c>
      <c r="I2428" s="1" t="s">
        <v>12</v>
      </c>
      <c r="J2428" s="1" t="s">
        <v>196</v>
      </c>
      <c r="K2428" s="1" t="s">
        <v>14</v>
      </c>
      <c r="L2428" s="1" t="s">
        <v>12</v>
      </c>
      <c r="M2428" s="1" t="s">
        <v>12</v>
      </c>
      <c r="N2428" s="1">
        <v>21.12</v>
      </c>
      <c r="O2428" s="1" t="s">
        <v>26</v>
      </c>
      <c r="P2428" s="1">
        <v>0</v>
      </c>
      <c r="Q2428" s="1" t="s">
        <v>16</v>
      </c>
      <c r="R2428" s="1" t="str">
        <f>IF(N2428="","",VLOOKUP(N2428,Prior_levels,2,TRUE))</f>
        <v>L</v>
      </c>
    </row>
    <row r="2429" spans="1:18" x14ac:dyDescent="0.2">
      <c r="A2429" s="1" t="s">
        <v>260</v>
      </c>
      <c r="B2429" s="1" t="s">
        <v>12</v>
      </c>
      <c r="C2429" s="2">
        <v>41155</v>
      </c>
      <c r="D2429" s="1">
        <v>10</v>
      </c>
      <c r="E2429" s="1" t="s">
        <v>11</v>
      </c>
      <c r="H2429" s="1" t="s">
        <v>54</v>
      </c>
      <c r="I2429" s="1" t="s">
        <v>12</v>
      </c>
      <c r="J2429" s="1" t="s">
        <v>196</v>
      </c>
      <c r="K2429" s="1" t="s">
        <v>14</v>
      </c>
      <c r="L2429" s="1" t="s">
        <v>12</v>
      </c>
      <c r="M2429" s="1" t="s">
        <v>12</v>
      </c>
      <c r="N2429" s="1">
        <v>21.12</v>
      </c>
      <c r="O2429" s="1" t="s">
        <v>32</v>
      </c>
      <c r="P2429" s="1" t="s">
        <v>28</v>
      </c>
      <c r="Q2429" s="1" t="s">
        <v>16</v>
      </c>
      <c r="R2429" s="1" t="str">
        <f>IF(N2429="","",VLOOKUP(N2429,Prior_levels,2,TRUE))</f>
        <v>L</v>
      </c>
    </row>
    <row r="2430" spans="1:18" x14ac:dyDescent="0.2">
      <c r="A2430" s="1" t="s">
        <v>260</v>
      </c>
      <c r="B2430" s="1" t="s">
        <v>12</v>
      </c>
      <c r="C2430" s="2">
        <v>41155</v>
      </c>
      <c r="D2430" s="1">
        <v>10</v>
      </c>
      <c r="E2430" s="1" t="s">
        <v>11</v>
      </c>
      <c r="H2430" s="1" t="s">
        <v>54</v>
      </c>
      <c r="I2430" s="1" t="s">
        <v>12</v>
      </c>
      <c r="J2430" s="1" t="s">
        <v>196</v>
      </c>
      <c r="K2430" s="1" t="s">
        <v>14</v>
      </c>
      <c r="L2430" s="1" t="s">
        <v>12</v>
      </c>
      <c r="M2430" s="1" t="s">
        <v>12</v>
      </c>
      <c r="N2430" s="1">
        <v>21.12</v>
      </c>
      <c r="O2430" s="1" t="s">
        <v>27</v>
      </c>
      <c r="P2430" s="1" t="s">
        <v>28</v>
      </c>
      <c r="Q2430" s="1" t="s">
        <v>16</v>
      </c>
      <c r="R2430" s="1" t="str">
        <f>IF(N2430="","",VLOOKUP(N2430,Prior_levels,2,TRUE))</f>
        <v>L</v>
      </c>
    </row>
    <row r="2431" spans="1:18" x14ac:dyDescent="0.2">
      <c r="A2431" s="1" t="s">
        <v>260</v>
      </c>
      <c r="B2431" s="1" t="s">
        <v>12</v>
      </c>
      <c r="C2431" s="2">
        <v>41155</v>
      </c>
      <c r="D2431" s="1">
        <v>10</v>
      </c>
      <c r="E2431" s="1" t="s">
        <v>11</v>
      </c>
      <c r="H2431" s="1" t="s">
        <v>54</v>
      </c>
      <c r="I2431" s="1" t="s">
        <v>12</v>
      </c>
      <c r="J2431" s="1" t="s">
        <v>196</v>
      </c>
      <c r="K2431" s="1" t="s">
        <v>14</v>
      </c>
      <c r="L2431" s="1" t="s">
        <v>12</v>
      </c>
      <c r="M2431" s="1" t="s">
        <v>12</v>
      </c>
      <c r="N2431" s="1">
        <v>21.12</v>
      </c>
      <c r="O2431" s="1" t="s">
        <v>29</v>
      </c>
      <c r="P2431" s="1" t="s">
        <v>28</v>
      </c>
      <c r="Q2431" s="1" t="s">
        <v>16</v>
      </c>
      <c r="R2431" s="1" t="str">
        <f>IF(N2431="","",VLOOKUP(N2431,Prior_levels,2,TRUE))</f>
        <v>L</v>
      </c>
    </row>
    <row r="2432" spans="1:18" x14ac:dyDescent="0.2">
      <c r="A2432" s="1" t="s">
        <v>260</v>
      </c>
      <c r="B2432" s="1" t="s">
        <v>12</v>
      </c>
      <c r="C2432" s="2">
        <v>41155</v>
      </c>
      <c r="D2432" s="1">
        <v>10</v>
      </c>
      <c r="E2432" s="1" t="s">
        <v>11</v>
      </c>
      <c r="H2432" s="1" t="s">
        <v>54</v>
      </c>
      <c r="I2432" s="1" t="s">
        <v>12</v>
      </c>
      <c r="J2432" s="1" t="s">
        <v>196</v>
      </c>
      <c r="K2432" s="1" t="s">
        <v>14</v>
      </c>
      <c r="L2432" s="1" t="s">
        <v>12</v>
      </c>
      <c r="M2432" s="1" t="s">
        <v>12</v>
      </c>
      <c r="N2432" s="1">
        <v>21.12</v>
      </c>
      <c r="O2432" s="1" t="s">
        <v>30</v>
      </c>
      <c r="P2432" s="1" t="s">
        <v>28</v>
      </c>
      <c r="Q2432" s="1" t="s">
        <v>16</v>
      </c>
      <c r="R2432" s="1" t="str">
        <f>IF(N2432="","",VLOOKUP(N2432,Prior_levels,2,TRUE))</f>
        <v>L</v>
      </c>
    </row>
    <row r="2433" spans="1:18" x14ac:dyDescent="0.2">
      <c r="A2433" s="1" t="s">
        <v>260</v>
      </c>
      <c r="B2433" s="1" t="s">
        <v>12</v>
      </c>
      <c r="C2433" s="2">
        <v>41155</v>
      </c>
      <c r="D2433" s="1">
        <v>10</v>
      </c>
      <c r="E2433" s="1" t="s">
        <v>11</v>
      </c>
      <c r="H2433" s="1" t="s">
        <v>54</v>
      </c>
      <c r="I2433" s="1" t="s">
        <v>12</v>
      </c>
      <c r="J2433" s="1" t="s">
        <v>196</v>
      </c>
      <c r="K2433" s="1" t="s">
        <v>14</v>
      </c>
      <c r="L2433" s="1" t="s">
        <v>12</v>
      </c>
      <c r="M2433" s="1" t="s">
        <v>12</v>
      </c>
      <c r="N2433" s="1">
        <v>21.12</v>
      </c>
      <c r="O2433" s="1" t="s">
        <v>31</v>
      </c>
      <c r="P2433" s="1" t="s">
        <v>28</v>
      </c>
      <c r="Q2433" s="1" t="s">
        <v>16</v>
      </c>
      <c r="R2433" s="1" t="str">
        <f>IF(N2433="","",VLOOKUP(N2433,Prior_levels,2,TRUE))</f>
        <v>L</v>
      </c>
    </row>
    <row r="2434" spans="1:18" x14ac:dyDescent="0.2">
      <c r="A2434" s="1" t="s">
        <v>261</v>
      </c>
      <c r="B2434" s="1" t="s">
        <v>12</v>
      </c>
      <c r="C2434" s="2">
        <v>41155</v>
      </c>
      <c r="D2434" s="1">
        <v>10</v>
      </c>
      <c r="E2434" s="1" t="s">
        <v>52</v>
      </c>
      <c r="H2434" s="1" t="s">
        <v>54</v>
      </c>
      <c r="I2434" s="1" t="s">
        <v>12</v>
      </c>
      <c r="J2434" s="1" t="s">
        <v>262</v>
      </c>
      <c r="K2434" s="1" t="s">
        <v>262</v>
      </c>
      <c r="L2434" s="1" t="s">
        <v>12</v>
      </c>
      <c r="M2434" s="1" t="s">
        <v>12</v>
      </c>
      <c r="N2434" s="1">
        <v>33.18</v>
      </c>
      <c r="O2434" s="1" t="s">
        <v>15</v>
      </c>
      <c r="P2434" s="1">
        <v>5.5</v>
      </c>
      <c r="Q2434" s="1" t="s">
        <v>16</v>
      </c>
      <c r="R2434" s="1" t="str">
        <f>IF(N2434="","",VLOOKUP(N2434,Prior_levels,2,TRUE))</f>
        <v>H</v>
      </c>
    </row>
    <row r="2435" spans="1:18" x14ac:dyDescent="0.2">
      <c r="A2435" s="1" t="s">
        <v>261</v>
      </c>
      <c r="B2435" s="1" t="s">
        <v>12</v>
      </c>
      <c r="C2435" s="2">
        <v>41155</v>
      </c>
      <c r="D2435" s="1">
        <v>10</v>
      </c>
      <c r="E2435" s="1" t="s">
        <v>52</v>
      </c>
      <c r="H2435" s="1" t="s">
        <v>54</v>
      </c>
      <c r="I2435" s="1" t="s">
        <v>12</v>
      </c>
      <c r="J2435" s="1" t="s">
        <v>262</v>
      </c>
      <c r="K2435" s="1" t="s">
        <v>262</v>
      </c>
      <c r="L2435" s="1" t="s">
        <v>12</v>
      </c>
      <c r="M2435" s="1" t="s">
        <v>12</v>
      </c>
      <c r="N2435" s="1">
        <v>33.18</v>
      </c>
      <c r="O2435" s="1" t="s">
        <v>17</v>
      </c>
      <c r="P2435" s="1">
        <v>-1.05</v>
      </c>
      <c r="Q2435" s="1" t="s">
        <v>16</v>
      </c>
      <c r="R2435" s="1" t="str">
        <f>IF(N2435="","",VLOOKUP(N2435,Prior_levels,2,TRUE))</f>
        <v>H</v>
      </c>
    </row>
    <row r="2436" spans="1:18" x14ac:dyDescent="0.2">
      <c r="A2436" s="1" t="s">
        <v>261</v>
      </c>
      <c r="B2436" s="1" t="s">
        <v>12</v>
      </c>
      <c r="C2436" s="2">
        <v>41155</v>
      </c>
      <c r="D2436" s="1">
        <v>10</v>
      </c>
      <c r="E2436" s="1" t="s">
        <v>52</v>
      </c>
      <c r="H2436" s="1" t="s">
        <v>54</v>
      </c>
      <c r="I2436" s="1" t="s">
        <v>12</v>
      </c>
      <c r="J2436" s="1" t="s">
        <v>262</v>
      </c>
      <c r="K2436" s="1" t="s">
        <v>262</v>
      </c>
      <c r="L2436" s="1" t="s">
        <v>12</v>
      </c>
      <c r="M2436" s="1" t="s">
        <v>12</v>
      </c>
      <c r="N2436" s="1">
        <v>33.18</v>
      </c>
      <c r="O2436" s="1" t="s">
        <v>18</v>
      </c>
      <c r="P2436" s="1">
        <v>10</v>
      </c>
      <c r="Q2436" s="1" t="s">
        <v>16</v>
      </c>
      <c r="R2436" s="1" t="str">
        <f>IF(N2436="","",VLOOKUP(N2436,Prior_levels,2,TRUE))</f>
        <v>H</v>
      </c>
    </row>
    <row r="2437" spans="1:18" x14ac:dyDescent="0.2">
      <c r="A2437" s="1" t="s">
        <v>261</v>
      </c>
      <c r="B2437" s="1" t="s">
        <v>12</v>
      </c>
      <c r="C2437" s="2">
        <v>41155</v>
      </c>
      <c r="D2437" s="1">
        <v>10</v>
      </c>
      <c r="E2437" s="1" t="s">
        <v>52</v>
      </c>
      <c r="H2437" s="1" t="s">
        <v>54</v>
      </c>
      <c r="I2437" s="1" t="s">
        <v>12</v>
      </c>
      <c r="J2437" s="1" t="s">
        <v>262</v>
      </c>
      <c r="K2437" s="1" t="s">
        <v>262</v>
      </c>
      <c r="L2437" s="1" t="s">
        <v>12</v>
      </c>
      <c r="M2437" s="1" t="s">
        <v>12</v>
      </c>
      <c r="N2437" s="1">
        <v>33.18</v>
      </c>
      <c r="O2437" s="1" t="s">
        <v>19</v>
      </c>
      <c r="P2437" s="1">
        <v>14</v>
      </c>
      <c r="Q2437" s="1" t="s">
        <v>16</v>
      </c>
      <c r="R2437" s="1" t="str">
        <f>IF(N2437="","",VLOOKUP(N2437,Prior_levels,2,TRUE))</f>
        <v>H</v>
      </c>
    </row>
    <row r="2438" spans="1:18" x14ac:dyDescent="0.2">
      <c r="A2438" s="1" t="s">
        <v>261</v>
      </c>
      <c r="B2438" s="1" t="s">
        <v>12</v>
      </c>
      <c r="C2438" s="2">
        <v>41155</v>
      </c>
      <c r="D2438" s="1">
        <v>10</v>
      </c>
      <c r="E2438" s="1" t="s">
        <v>52</v>
      </c>
      <c r="H2438" s="1" t="s">
        <v>54</v>
      </c>
      <c r="I2438" s="1" t="s">
        <v>12</v>
      </c>
      <c r="J2438" s="1" t="s">
        <v>262</v>
      </c>
      <c r="K2438" s="1" t="s">
        <v>262</v>
      </c>
      <c r="L2438" s="1" t="s">
        <v>12</v>
      </c>
      <c r="M2438" s="1" t="s">
        <v>12</v>
      </c>
      <c r="N2438" s="1">
        <v>33.18</v>
      </c>
      <c r="O2438" s="1" t="s">
        <v>20</v>
      </c>
      <c r="P2438" s="1">
        <v>18</v>
      </c>
      <c r="Q2438" s="1" t="s">
        <v>16</v>
      </c>
      <c r="R2438" s="1" t="str">
        <f>IF(N2438="","",VLOOKUP(N2438,Prior_levels,2,TRUE))</f>
        <v>H</v>
      </c>
    </row>
    <row r="2439" spans="1:18" x14ac:dyDescent="0.2">
      <c r="A2439" s="1" t="s">
        <v>261</v>
      </c>
      <c r="B2439" s="1" t="s">
        <v>12</v>
      </c>
      <c r="C2439" s="2">
        <v>41155</v>
      </c>
      <c r="D2439" s="1">
        <v>10</v>
      </c>
      <c r="E2439" s="1" t="s">
        <v>52</v>
      </c>
      <c r="H2439" s="1" t="s">
        <v>54</v>
      </c>
      <c r="I2439" s="1" t="s">
        <v>12</v>
      </c>
      <c r="J2439" s="1" t="s">
        <v>262</v>
      </c>
      <c r="K2439" s="1" t="s">
        <v>262</v>
      </c>
      <c r="L2439" s="1" t="s">
        <v>12</v>
      </c>
      <c r="M2439" s="1" t="s">
        <v>12</v>
      </c>
      <c r="N2439" s="1">
        <v>33.18</v>
      </c>
      <c r="O2439" s="1" t="s">
        <v>21</v>
      </c>
      <c r="P2439" s="1">
        <v>13</v>
      </c>
      <c r="Q2439" s="1" t="s">
        <v>16</v>
      </c>
      <c r="R2439" s="1" t="str">
        <f>IF(N2439="","",VLOOKUP(N2439,Prior_levels,2,TRUE))</f>
        <v>H</v>
      </c>
    </row>
    <row r="2440" spans="1:18" x14ac:dyDescent="0.2">
      <c r="A2440" s="1" t="s">
        <v>261</v>
      </c>
      <c r="B2440" s="1" t="s">
        <v>12</v>
      </c>
      <c r="C2440" s="2">
        <v>41155</v>
      </c>
      <c r="D2440" s="1">
        <v>10</v>
      </c>
      <c r="E2440" s="1" t="s">
        <v>52</v>
      </c>
      <c r="H2440" s="1" t="s">
        <v>54</v>
      </c>
      <c r="I2440" s="1" t="s">
        <v>12</v>
      </c>
      <c r="J2440" s="1" t="s">
        <v>262</v>
      </c>
      <c r="K2440" s="1" t="s">
        <v>262</v>
      </c>
      <c r="L2440" s="1" t="s">
        <v>12</v>
      </c>
      <c r="M2440" s="1" t="s">
        <v>12</v>
      </c>
      <c r="N2440" s="1">
        <v>33.18</v>
      </c>
      <c r="O2440" s="1" t="s">
        <v>22</v>
      </c>
      <c r="P2440" s="1">
        <v>-1.64</v>
      </c>
      <c r="Q2440" s="1" t="s">
        <v>16</v>
      </c>
      <c r="R2440" s="1" t="str">
        <f>IF(N2440="","",VLOOKUP(N2440,Prior_levels,2,TRUE))</f>
        <v>H</v>
      </c>
    </row>
    <row r="2441" spans="1:18" x14ac:dyDescent="0.2">
      <c r="A2441" s="1" t="s">
        <v>261</v>
      </c>
      <c r="B2441" s="1" t="s">
        <v>12</v>
      </c>
      <c r="C2441" s="2">
        <v>41155</v>
      </c>
      <c r="D2441" s="1">
        <v>10</v>
      </c>
      <c r="E2441" s="1" t="s">
        <v>52</v>
      </c>
      <c r="H2441" s="1" t="s">
        <v>54</v>
      </c>
      <c r="I2441" s="1" t="s">
        <v>12</v>
      </c>
      <c r="J2441" s="1" t="s">
        <v>262</v>
      </c>
      <c r="K2441" s="1" t="s">
        <v>262</v>
      </c>
      <c r="L2441" s="1" t="s">
        <v>12</v>
      </c>
      <c r="M2441" s="1" t="s">
        <v>12</v>
      </c>
      <c r="N2441" s="1">
        <v>33.18</v>
      </c>
      <c r="O2441" s="1" t="s">
        <v>23</v>
      </c>
      <c r="P2441" s="1">
        <v>0.34</v>
      </c>
      <c r="Q2441" s="1" t="s">
        <v>16</v>
      </c>
      <c r="R2441" s="1" t="str">
        <f>IF(N2441="","",VLOOKUP(N2441,Prior_levels,2,TRUE))</f>
        <v>H</v>
      </c>
    </row>
    <row r="2442" spans="1:18" x14ac:dyDescent="0.2">
      <c r="A2442" s="1" t="s">
        <v>261</v>
      </c>
      <c r="B2442" s="1" t="s">
        <v>12</v>
      </c>
      <c r="C2442" s="2">
        <v>41155</v>
      </c>
      <c r="D2442" s="1">
        <v>10</v>
      </c>
      <c r="E2442" s="1" t="s">
        <v>52</v>
      </c>
      <c r="H2442" s="1" t="s">
        <v>54</v>
      </c>
      <c r="I2442" s="1" t="s">
        <v>12</v>
      </c>
      <c r="J2442" s="1" t="s">
        <v>262</v>
      </c>
      <c r="K2442" s="1" t="s">
        <v>262</v>
      </c>
      <c r="L2442" s="1" t="s">
        <v>12</v>
      </c>
      <c r="M2442" s="1" t="s">
        <v>12</v>
      </c>
      <c r="N2442" s="1">
        <v>33.18</v>
      </c>
      <c r="O2442" s="1" t="s">
        <v>25</v>
      </c>
      <c r="P2442" s="1">
        <v>-6.62</v>
      </c>
      <c r="Q2442" s="1" t="s">
        <v>16</v>
      </c>
      <c r="R2442" s="1" t="str">
        <f>IF(N2442="","",VLOOKUP(N2442,Prior_levels,2,TRUE))</f>
        <v>H</v>
      </c>
    </row>
    <row r="2443" spans="1:18" x14ac:dyDescent="0.2">
      <c r="A2443" s="1" t="s">
        <v>261</v>
      </c>
      <c r="B2443" s="1" t="s">
        <v>12</v>
      </c>
      <c r="C2443" s="2">
        <v>41155</v>
      </c>
      <c r="D2443" s="1">
        <v>10</v>
      </c>
      <c r="E2443" s="1" t="s">
        <v>52</v>
      </c>
      <c r="H2443" s="1" t="s">
        <v>54</v>
      </c>
      <c r="I2443" s="1" t="s">
        <v>12</v>
      </c>
      <c r="J2443" s="1" t="s">
        <v>262</v>
      </c>
      <c r="K2443" s="1" t="s">
        <v>262</v>
      </c>
      <c r="L2443" s="1" t="s">
        <v>12</v>
      </c>
      <c r="M2443" s="1" t="s">
        <v>12</v>
      </c>
      <c r="N2443" s="1">
        <v>33.18</v>
      </c>
      <c r="O2443" s="1" t="s">
        <v>26</v>
      </c>
      <c r="P2443" s="1">
        <v>9</v>
      </c>
      <c r="Q2443" s="1" t="s">
        <v>16</v>
      </c>
      <c r="R2443" s="1" t="str">
        <f>IF(N2443="","",VLOOKUP(N2443,Prior_levels,2,TRUE))</f>
        <v>H</v>
      </c>
    </row>
    <row r="2444" spans="1:18" x14ac:dyDescent="0.2">
      <c r="A2444" s="1" t="s">
        <v>261</v>
      </c>
      <c r="B2444" s="1" t="s">
        <v>12</v>
      </c>
      <c r="C2444" s="2">
        <v>41155</v>
      </c>
      <c r="D2444" s="1">
        <v>10</v>
      </c>
      <c r="E2444" s="1" t="s">
        <v>52</v>
      </c>
      <c r="H2444" s="1" t="s">
        <v>54</v>
      </c>
      <c r="I2444" s="1" t="s">
        <v>12</v>
      </c>
      <c r="J2444" s="1" t="s">
        <v>262</v>
      </c>
      <c r="K2444" s="1" t="s">
        <v>262</v>
      </c>
      <c r="L2444" s="1" t="s">
        <v>12</v>
      </c>
      <c r="M2444" s="1" t="s">
        <v>12</v>
      </c>
      <c r="N2444" s="1">
        <v>33.18</v>
      </c>
      <c r="O2444" s="1" t="s">
        <v>24</v>
      </c>
      <c r="P2444" s="1">
        <v>-1.27</v>
      </c>
      <c r="Q2444" s="1" t="s">
        <v>16</v>
      </c>
      <c r="R2444" s="1" t="str">
        <f>IF(N2444="","",VLOOKUP(N2444,Prior_levels,2,TRUE))</f>
        <v>H</v>
      </c>
    </row>
    <row r="2445" spans="1:18" x14ac:dyDescent="0.2">
      <c r="A2445" s="1" t="s">
        <v>261</v>
      </c>
      <c r="B2445" s="1" t="s">
        <v>12</v>
      </c>
      <c r="C2445" s="2">
        <v>41155</v>
      </c>
      <c r="D2445" s="1">
        <v>10</v>
      </c>
      <c r="E2445" s="1" t="s">
        <v>52</v>
      </c>
      <c r="H2445" s="1" t="s">
        <v>54</v>
      </c>
      <c r="I2445" s="1" t="s">
        <v>12</v>
      </c>
      <c r="J2445" s="1" t="s">
        <v>262</v>
      </c>
      <c r="K2445" s="1" t="s">
        <v>262</v>
      </c>
      <c r="L2445" s="1" t="s">
        <v>12</v>
      </c>
      <c r="M2445" s="1" t="s">
        <v>12</v>
      </c>
      <c r="N2445" s="1">
        <v>33.18</v>
      </c>
      <c r="O2445" s="1" t="s">
        <v>27</v>
      </c>
      <c r="P2445" s="1" t="s">
        <v>37</v>
      </c>
      <c r="Q2445" s="1" t="s">
        <v>16</v>
      </c>
      <c r="R2445" s="1" t="str">
        <f>IF(N2445="","",VLOOKUP(N2445,Prior_levels,2,TRUE))</f>
        <v>H</v>
      </c>
    </row>
    <row r="2446" spans="1:18" x14ac:dyDescent="0.2">
      <c r="A2446" s="1" t="s">
        <v>261</v>
      </c>
      <c r="B2446" s="1" t="s">
        <v>12</v>
      </c>
      <c r="C2446" s="2">
        <v>41155</v>
      </c>
      <c r="D2446" s="1">
        <v>10</v>
      </c>
      <c r="E2446" s="1" t="s">
        <v>52</v>
      </c>
      <c r="H2446" s="1" t="s">
        <v>54</v>
      </c>
      <c r="I2446" s="1" t="s">
        <v>12</v>
      </c>
      <c r="J2446" s="1" t="s">
        <v>262</v>
      </c>
      <c r="K2446" s="1" t="s">
        <v>262</v>
      </c>
      <c r="L2446" s="1" t="s">
        <v>12</v>
      </c>
      <c r="M2446" s="1" t="s">
        <v>12</v>
      </c>
      <c r="N2446" s="1">
        <v>33.18</v>
      </c>
      <c r="O2446" s="1" t="s">
        <v>29</v>
      </c>
      <c r="P2446" s="1" t="s">
        <v>37</v>
      </c>
      <c r="Q2446" s="1" t="s">
        <v>16</v>
      </c>
      <c r="R2446" s="1" t="str">
        <f>IF(N2446="","",VLOOKUP(N2446,Prior_levels,2,TRUE))</f>
        <v>H</v>
      </c>
    </row>
    <row r="2447" spans="1:18" x14ac:dyDescent="0.2">
      <c r="A2447" s="1" t="s">
        <v>261</v>
      </c>
      <c r="B2447" s="1" t="s">
        <v>12</v>
      </c>
      <c r="C2447" s="2">
        <v>41155</v>
      </c>
      <c r="D2447" s="1">
        <v>10</v>
      </c>
      <c r="E2447" s="1" t="s">
        <v>52</v>
      </c>
      <c r="H2447" s="1" t="s">
        <v>54</v>
      </c>
      <c r="I2447" s="1" t="s">
        <v>12</v>
      </c>
      <c r="J2447" s="1" t="s">
        <v>262</v>
      </c>
      <c r="K2447" s="1" t="s">
        <v>262</v>
      </c>
      <c r="L2447" s="1" t="s">
        <v>12</v>
      </c>
      <c r="M2447" s="1" t="s">
        <v>12</v>
      </c>
      <c r="N2447" s="1">
        <v>33.18</v>
      </c>
      <c r="O2447" s="1" t="s">
        <v>30</v>
      </c>
      <c r="P2447" s="1" t="s">
        <v>37</v>
      </c>
      <c r="Q2447" s="1" t="s">
        <v>16</v>
      </c>
      <c r="R2447" s="1" t="str">
        <f>IF(N2447="","",VLOOKUP(N2447,Prior_levels,2,TRUE))</f>
        <v>H</v>
      </c>
    </row>
    <row r="2448" spans="1:18" x14ac:dyDescent="0.2">
      <c r="A2448" s="1" t="s">
        <v>261</v>
      </c>
      <c r="B2448" s="1" t="s">
        <v>12</v>
      </c>
      <c r="C2448" s="2">
        <v>41155</v>
      </c>
      <c r="D2448" s="1">
        <v>10</v>
      </c>
      <c r="E2448" s="1" t="s">
        <v>52</v>
      </c>
      <c r="H2448" s="1" t="s">
        <v>54</v>
      </c>
      <c r="I2448" s="1" t="s">
        <v>12</v>
      </c>
      <c r="J2448" s="1" t="s">
        <v>262</v>
      </c>
      <c r="K2448" s="1" t="s">
        <v>262</v>
      </c>
      <c r="L2448" s="1" t="s">
        <v>12</v>
      </c>
      <c r="M2448" s="1" t="s">
        <v>12</v>
      </c>
      <c r="N2448" s="1">
        <v>33.18</v>
      </c>
      <c r="O2448" s="1" t="s">
        <v>31</v>
      </c>
      <c r="P2448" s="1" t="s">
        <v>37</v>
      </c>
      <c r="Q2448" s="1" t="s">
        <v>16</v>
      </c>
      <c r="R2448" s="1" t="str">
        <f>IF(N2448="","",VLOOKUP(N2448,Prior_levels,2,TRUE))</f>
        <v>H</v>
      </c>
    </row>
    <row r="2449" spans="1:18" x14ac:dyDescent="0.2">
      <c r="A2449" s="1" t="s">
        <v>261</v>
      </c>
      <c r="B2449" s="1" t="s">
        <v>12</v>
      </c>
      <c r="C2449" s="2">
        <v>41155</v>
      </c>
      <c r="D2449" s="1">
        <v>10</v>
      </c>
      <c r="E2449" s="1" t="s">
        <v>52</v>
      </c>
      <c r="H2449" s="1" t="s">
        <v>54</v>
      </c>
      <c r="I2449" s="1" t="s">
        <v>12</v>
      </c>
      <c r="J2449" s="1" t="s">
        <v>262</v>
      </c>
      <c r="K2449" s="1" t="s">
        <v>262</v>
      </c>
      <c r="L2449" s="1" t="s">
        <v>12</v>
      </c>
      <c r="M2449" s="1" t="s">
        <v>12</v>
      </c>
      <c r="N2449" s="1">
        <v>33.18</v>
      </c>
      <c r="O2449" s="1" t="s">
        <v>32</v>
      </c>
      <c r="P2449" s="1" t="s">
        <v>37</v>
      </c>
      <c r="Q2449" s="1" t="s">
        <v>16</v>
      </c>
      <c r="R2449" s="1" t="str">
        <f>IF(N2449="","",VLOOKUP(N2449,Prior_levels,2,TRUE))</f>
        <v>H</v>
      </c>
    </row>
    <row r="2450" spans="1:18" x14ac:dyDescent="0.2">
      <c r="A2450" s="1" t="s">
        <v>263</v>
      </c>
      <c r="B2450" s="1" t="s">
        <v>10</v>
      </c>
      <c r="C2450" s="2">
        <v>41155</v>
      </c>
      <c r="D2450" s="1">
        <v>10</v>
      </c>
      <c r="E2450" s="1" t="s">
        <v>42</v>
      </c>
      <c r="H2450" s="1" t="s">
        <v>54</v>
      </c>
      <c r="I2450" s="1" t="s">
        <v>12</v>
      </c>
      <c r="J2450" s="1" t="s">
        <v>127</v>
      </c>
      <c r="K2450" s="1" t="s">
        <v>14</v>
      </c>
      <c r="L2450" s="1" t="s">
        <v>12</v>
      </c>
      <c r="M2450" s="1" t="s">
        <v>12</v>
      </c>
      <c r="N2450" s="1">
        <v>27.12</v>
      </c>
      <c r="O2450" s="1" t="s">
        <v>15</v>
      </c>
      <c r="P2450" s="1">
        <v>4.5</v>
      </c>
      <c r="Q2450" s="1" t="s">
        <v>16</v>
      </c>
      <c r="R2450" s="1" t="str">
        <f>IF(N2450="","",VLOOKUP(N2450,Prior_levels,2,TRUE))</f>
        <v>M</v>
      </c>
    </row>
    <row r="2451" spans="1:18" x14ac:dyDescent="0.2">
      <c r="A2451" s="1" t="s">
        <v>263</v>
      </c>
      <c r="B2451" s="1" t="s">
        <v>10</v>
      </c>
      <c r="C2451" s="2">
        <v>41155</v>
      </c>
      <c r="D2451" s="1">
        <v>10</v>
      </c>
      <c r="E2451" s="1" t="s">
        <v>42</v>
      </c>
      <c r="H2451" s="1" t="s">
        <v>54</v>
      </c>
      <c r="I2451" s="1" t="s">
        <v>12</v>
      </c>
      <c r="J2451" s="1" t="s">
        <v>127</v>
      </c>
      <c r="K2451" s="1" t="s">
        <v>14</v>
      </c>
      <c r="L2451" s="1" t="s">
        <v>12</v>
      </c>
      <c r="M2451" s="1" t="s">
        <v>12</v>
      </c>
      <c r="N2451" s="1">
        <v>27.12</v>
      </c>
      <c r="O2451" s="1" t="s">
        <v>17</v>
      </c>
      <c r="P2451" s="1">
        <v>-0.05</v>
      </c>
      <c r="Q2451" s="1" t="s">
        <v>16</v>
      </c>
      <c r="R2451" s="1" t="str">
        <f>IF(N2451="","",VLOOKUP(N2451,Prior_levels,2,TRUE))</f>
        <v>M</v>
      </c>
    </row>
    <row r="2452" spans="1:18" x14ac:dyDescent="0.2">
      <c r="A2452" s="1" t="s">
        <v>263</v>
      </c>
      <c r="B2452" s="1" t="s">
        <v>10</v>
      </c>
      <c r="C2452" s="2">
        <v>41155</v>
      </c>
      <c r="D2452" s="1">
        <v>10</v>
      </c>
      <c r="E2452" s="1" t="s">
        <v>42</v>
      </c>
      <c r="H2452" s="1" t="s">
        <v>54</v>
      </c>
      <c r="I2452" s="1" t="s">
        <v>12</v>
      </c>
      <c r="J2452" s="1" t="s">
        <v>127</v>
      </c>
      <c r="K2452" s="1" t="s">
        <v>14</v>
      </c>
      <c r="L2452" s="1" t="s">
        <v>12</v>
      </c>
      <c r="M2452" s="1" t="s">
        <v>12</v>
      </c>
      <c r="N2452" s="1">
        <v>27.12</v>
      </c>
      <c r="O2452" s="1" t="s">
        <v>18</v>
      </c>
      <c r="P2452" s="1">
        <v>10</v>
      </c>
      <c r="Q2452" s="1" t="s">
        <v>16</v>
      </c>
      <c r="R2452" s="1" t="str">
        <f>IF(N2452="","",VLOOKUP(N2452,Prior_levels,2,TRUE))</f>
        <v>M</v>
      </c>
    </row>
    <row r="2453" spans="1:18" x14ac:dyDescent="0.2">
      <c r="A2453" s="1" t="s">
        <v>263</v>
      </c>
      <c r="B2453" s="1" t="s">
        <v>10</v>
      </c>
      <c r="C2453" s="2">
        <v>41155</v>
      </c>
      <c r="D2453" s="1">
        <v>10</v>
      </c>
      <c r="E2453" s="1" t="s">
        <v>42</v>
      </c>
      <c r="H2453" s="1" t="s">
        <v>54</v>
      </c>
      <c r="I2453" s="1" t="s">
        <v>12</v>
      </c>
      <c r="J2453" s="1" t="s">
        <v>127</v>
      </c>
      <c r="K2453" s="1" t="s">
        <v>14</v>
      </c>
      <c r="L2453" s="1" t="s">
        <v>12</v>
      </c>
      <c r="M2453" s="1" t="s">
        <v>12</v>
      </c>
      <c r="N2453" s="1">
        <v>27.12</v>
      </c>
      <c r="O2453" s="1" t="s">
        <v>19</v>
      </c>
      <c r="P2453" s="1">
        <v>10</v>
      </c>
      <c r="Q2453" s="1" t="s">
        <v>16</v>
      </c>
      <c r="R2453" s="1" t="str">
        <f>IF(N2453="","",VLOOKUP(N2453,Prior_levels,2,TRUE))</f>
        <v>M</v>
      </c>
    </row>
    <row r="2454" spans="1:18" x14ac:dyDescent="0.2">
      <c r="A2454" s="1" t="s">
        <v>263</v>
      </c>
      <c r="B2454" s="1" t="s">
        <v>10</v>
      </c>
      <c r="C2454" s="2">
        <v>41155</v>
      </c>
      <c r="D2454" s="1">
        <v>10</v>
      </c>
      <c r="E2454" s="1" t="s">
        <v>42</v>
      </c>
      <c r="H2454" s="1" t="s">
        <v>54</v>
      </c>
      <c r="I2454" s="1" t="s">
        <v>12</v>
      </c>
      <c r="J2454" s="1" t="s">
        <v>127</v>
      </c>
      <c r="K2454" s="1" t="s">
        <v>14</v>
      </c>
      <c r="L2454" s="1" t="s">
        <v>12</v>
      </c>
      <c r="M2454" s="1" t="s">
        <v>12</v>
      </c>
      <c r="N2454" s="1">
        <v>27.12</v>
      </c>
      <c r="O2454" s="1" t="s">
        <v>20</v>
      </c>
      <c r="P2454" s="1">
        <v>12</v>
      </c>
      <c r="Q2454" s="1" t="s">
        <v>16</v>
      </c>
      <c r="R2454" s="1" t="str">
        <f>IF(N2454="","",VLOOKUP(N2454,Prior_levels,2,TRUE))</f>
        <v>M</v>
      </c>
    </row>
    <row r="2455" spans="1:18" x14ac:dyDescent="0.2">
      <c r="A2455" s="1" t="s">
        <v>263</v>
      </c>
      <c r="B2455" s="1" t="s">
        <v>10</v>
      </c>
      <c r="C2455" s="2">
        <v>41155</v>
      </c>
      <c r="D2455" s="1">
        <v>10</v>
      </c>
      <c r="E2455" s="1" t="s">
        <v>42</v>
      </c>
      <c r="H2455" s="1" t="s">
        <v>54</v>
      </c>
      <c r="I2455" s="1" t="s">
        <v>12</v>
      </c>
      <c r="J2455" s="1" t="s">
        <v>127</v>
      </c>
      <c r="K2455" s="1" t="s">
        <v>14</v>
      </c>
      <c r="L2455" s="1" t="s">
        <v>12</v>
      </c>
      <c r="M2455" s="1" t="s">
        <v>12</v>
      </c>
      <c r="N2455" s="1">
        <v>27.12</v>
      </c>
      <c r="O2455" s="1" t="s">
        <v>21</v>
      </c>
      <c r="P2455" s="1">
        <v>13</v>
      </c>
      <c r="Q2455" s="1" t="s">
        <v>16</v>
      </c>
      <c r="R2455" s="1" t="str">
        <f>IF(N2455="","",VLOOKUP(N2455,Prior_levels,2,TRUE))</f>
        <v>M</v>
      </c>
    </row>
    <row r="2456" spans="1:18" x14ac:dyDescent="0.2">
      <c r="A2456" s="1" t="s">
        <v>263</v>
      </c>
      <c r="B2456" s="1" t="s">
        <v>10</v>
      </c>
      <c r="C2456" s="2">
        <v>41155</v>
      </c>
      <c r="D2456" s="1">
        <v>10</v>
      </c>
      <c r="E2456" s="1" t="s">
        <v>42</v>
      </c>
      <c r="H2456" s="1" t="s">
        <v>54</v>
      </c>
      <c r="I2456" s="1" t="s">
        <v>12</v>
      </c>
      <c r="J2456" s="1" t="s">
        <v>127</v>
      </c>
      <c r="K2456" s="1" t="s">
        <v>14</v>
      </c>
      <c r="L2456" s="1" t="s">
        <v>12</v>
      </c>
      <c r="M2456" s="1" t="s">
        <v>12</v>
      </c>
      <c r="N2456" s="1">
        <v>27.12</v>
      </c>
      <c r="O2456" s="1" t="s">
        <v>22</v>
      </c>
      <c r="P2456" s="1">
        <v>-0.05</v>
      </c>
      <c r="Q2456" s="1" t="s">
        <v>16</v>
      </c>
      <c r="R2456" s="1" t="str">
        <f>IF(N2456="","",VLOOKUP(N2456,Prior_levels,2,TRUE))</f>
        <v>M</v>
      </c>
    </row>
    <row r="2457" spans="1:18" x14ac:dyDescent="0.2">
      <c r="A2457" s="1" t="s">
        <v>263</v>
      </c>
      <c r="B2457" s="1" t="s">
        <v>10</v>
      </c>
      <c r="C2457" s="2">
        <v>41155</v>
      </c>
      <c r="D2457" s="1">
        <v>10</v>
      </c>
      <c r="E2457" s="1" t="s">
        <v>42</v>
      </c>
      <c r="H2457" s="1" t="s">
        <v>54</v>
      </c>
      <c r="I2457" s="1" t="s">
        <v>12</v>
      </c>
      <c r="J2457" s="1" t="s">
        <v>127</v>
      </c>
      <c r="K2457" s="1" t="s">
        <v>14</v>
      </c>
      <c r="L2457" s="1" t="s">
        <v>12</v>
      </c>
      <c r="M2457" s="1" t="s">
        <v>12</v>
      </c>
      <c r="N2457" s="1">
        <v>27.12</v>
      </c>
      <c r="O2457" s="1" t="s">
        <v>23</v>
      </c>
      <c r="P2457" s="1">
        <v>0.36</v>
      </c>
      <c r="Q2457" s="1" t="s">
        <v>16</v>
      </c>
      <c r="R2457" s="1" t="str">
        <f>IF(N2457="","",VLOOKUP(N2457,Prior_levels,2,TRUE))</f>
        <v>M</v>
      </c>
    </row>
    <row r="2458" spans="1:18" x14ac:dyDescent="0.2">
      <c r="A2458" s="1" t="s">
        <v>263</v>
      </c>
      <c r="B2458" s="1" t="s">
        <v>10</v>
      </c>
      <c r="C2458" s="2">
        <v>41155</v>
      </c>
      <c r="D2458" s="1">
        <v>10</v>
      </c>
      <c r="E2458" s="1" t="s">
        <v>42</v>
      </c>
      <c r="H2458" s="1" t="s">
        <v>54</v>
      </c>
      <c r="I2458" s="1" t="s">
        <v>12</v>
      </c>
      <c r="J2458" s="1" t="s">
        <v>127</v>
      </c>
      <c r="K2458" s="1" t="s">
        <v>14</v>
      </c>
      <c r="L2458" s="1" t="s">
        <v>12</v>
      </c>
      <c r="M2458" s="1" t="s">
        <v>12</v>
      </c>
      <c r="N2458" s="1">
        <v>27.12</v>
      </c>
      <c r="O2458" s="1" t="s">
        <v>24</v>
      </c>
      <c r="P2458" s="1">
        <v>0.75</v>
      </c>
      <c r="Q2458" s="1" t="s">
        <v>16</v>
      </c>
      <c r="R2458" s="1" t="str">
        <f>IF(N2458="","",VLOOKUP(N2458,Prior_levels,2,TRUE))</f>
        <v>M</v>
      </c>
    </row>
    <row r="2459" spans="1:18" x14ac:dyDescent="0.2">
      <c r="A2459" s="1" t="s">
        <v>263</v>
      </c>
      <c r="B2459" s="1" t="s">
        <v>10</v>
      </c>
      <c r="C2459" s="2">
        <v>41155</v>
      </c>
      <c r="D2459" s="1">
        <v>10</v>
      </c>
      <c r="E2459" s="1" t="s">
        <v>42</v>
      </c>
      <c r="H2459" s="1" t="s">
        <v>54</v>
      </c>
      <c r="I2459" s="1" t="s">
        <v>12</v>
      </c>
      <c r="J2459" s="1" t="s">
        <v>127</v>
      </c>
      <c r="K2459" s="1" t="s">
        <v>14</v>
      </c>
      <c r="L2459" s="1" t="s">
        <v>12</v>
      </c>
      <c r="M2459" s="1" t="s">
        <v>12</v>
      </c>
      <c r="N2459" s="1">
        <v>27.12</v>
      </c>
      <c r="O2459" s="1" t="s">
        <v>25</v>
      </c>
      <c r="P2459" s="1">
        <v>-1.89</v>
      </c>
      <c r="Q2459" s="1" t="s">
        <v>16</v>
      </c>
      <c r="R2459" s="1" t="str">
        <f>IF(N2459="","",VLOOKUP(N2459,Prior_levels,2,TRUE))</f>
        <v>M</v>
      </c>
    </row>
    <row r="2460" spans="1:18" x14ac:dyDescent="0.2">
      <c r="A2460" s="1" t="s">
        <v>263</v>
      </c>
      <c r="B2460" s="1" t="s">
        <v>10</v>
      </c>
      <c r="C2460" s="2">
        <v>41155</v>
      </c>
      <c r="D2460" s="1">
        <v>10</v>
      </c>
      <c r="E2460" s="1" t="s">
        <v>42</v>
      </c>
      <c r="H2460" s="1" t="s">
        <v>54</v>
      </c>
      <c r="I2460" s="1" t="s">
        <v>12</v>
      </c>
      <c r="J2460" s="1" t="s">
        <v>127</v>
      </c>
      <c r="K2460" s="1" t="s">
        <v>14</v>
      </c>
      <c r="L2460" s="1" t="s">
        <v>12</v>
      </c>
      <c r="M2460" s="1" t="s">
        <v>12</v>
      </c>
      <c r="N2460" s="1">
        <v>27.12</v>
      </c>
      <c r="O2460" s="1" t="s">
        <v>26</v>
      </c>
      <c r="P2460" s="1">
        <v>10</v>
      </c>
      <c r="Q2460" s="1" t="s">
        <v>16</v>
      </c>
      <c r="R2460" s="1" t="str">
        <f>IF(N2460="","",VLOOKUP(N2460,Prior_levels,2,TRUE))</f>
        <v>M</v>
      </c>
    </row>
    <row r="2461" spans="1:18" x14ac:dyDescent="0.2">
      <c r="A2461" s="1" t="s">
        <v>263</v>
      </c>
      <c r="B2461" s="1" t="s">
        <v>10</v>
      </c>
      <c r="C2461" s="2">
        <v>41155</v>
      </c>
      <c r="D2461" s="1">
        <v>10</v>
      </c>
      <c r="E2461" s="1" t="s">
        <v>42</v>
      </c>
      <c r="H2461" s="1" t="s">
        <v>54</v>
      </c>
      <c r="I2461" s="1" t="s">
        <v>12</v>
      </c>
      <c r="J2461" s="1" t="s">
        <v>127</v>
      </c>
      <c r="K2461" s="1" t="s">
        <v>14</v>
      </c>
      <c r="L2461" s="1" t="s">
        <v>12</v>
      </c>
      <c r="M2461" s="1" t="s">
        <v>12</v>
      </c>
      <c r="N2461" s="1">
        <v>27.12</v>
      </c>
      <c r="O2461" s="1" t="s">
        <v>27</v>
      </c>
      <c r="P2461" s="1" t="s">
        <v>37</v>
      </c>
      <c r="Q2461" s="1" t="s">
        <v>16</v>
      </c>
      <c r="R2461" s="1" t="str">
        <f>IF(N2461="","",VLOOKUP(N2461,Prior_levels,2,TRUE))</f>
        <v>M</v>
      </c>
    </row>
    <row r="2462" spans="1:18" x14ac:dyDescent="0.2">
      <c r="A2462" s="1" t="s">
        <v>263</v>
      </c>
      <c r="B2462" s="1" t="s">
        <v>10</v>
      </c>
      <c r="C2462" s="2">
        <v>41155</v>
      </c>
      <c r="D2462" s="1">
        <v>10</v>
      </c>
      <c r="E2462" s="1" t="s">
        <v>42</v>
      </c>
      <c r="H2462" s="1" t="s">
        <v>54</v>
      </c>
      <c r="I2462" s="1" t="s">
        <v>12</v>
      </c>
      <c r="J2462" s="1" t="s">
        <v>127</v>
      </c>
      <c r="K2462" s="1" t="s">
        <v>14</v>
      </c>
      <c r="L2462" s="1" t="s">
        <v>12</v>
      </c>
      <c r="M2462" s="1" t="s">
        <v>12</v>
      </c>
      <c r="N2462" s="1">
        <v>27.12</v>
      </c>
      <c r="O2462" s="1" t="s">
        <v>29</v>
      </c>
      <c r="P2462" s="1" t="s">
        <v>37</v>
      </c>
      <c r="Q2462" s="1" t="s">
        <v>16</v>
      </c>
      <c r="R2462" s="1" t="str">
        <f>IF(N2462="","",VLOOKUP(N2462,Prior_levels,2,TRUE))</f>
        <v>M</v>
      </c>
    </row>
    <row r="2463" spans="1:18" x14ac:dyDescent="0.2">
      <c r="A2463" s="1" t="s">
        <v>263</v>
      </c>
      <c r="B2463" s="1" t="s">
        <v>10</v>
      </c>
      <c r="C2463" s="2">
        <v>41155</v>
      </c>
      <c r="D2463" s="1">
        <v>10</v>
      </c>
      <c r="E2463" s="1" t="s">
        <v>42</v>
      </c>
      <c r="H2463" s="1" t="s">
        <v>54</v>
      </c>
      <c r="I2463" s="1" t="s">
        <v>12</v>
      </c>
      <c r="J2463" s="1" t="s">
        <v>127</v>
      </c>
      <c r="K2463" s="1" t="s">
        <v>14</v>
      </c>
      <c r="L2463" s="1" t="s">
        <v>12</v>
      </c>
      <c r="M2463" s="1" t="s">
        <v>12</v>
      </c>
      <c r="N2463" s="1">
        <v>27.12</v>
      </c>
      <c r="O2463" s="1" t="s">
        <v>30</v>
      </c>
      <c r="P2463" s="1" t="s">
        <v>37</v>
      </c>
      <c r="Q2463" s="1" t="s">
        <v>16</v>
      </c>
      <c r="R2463" s="1" t="str">
        <f>IF(N2463="","",VLOOKUP(N2463,Prior_levels,2,TRUE))</f>
        <v>M</v>
      </c>
    </row>
    <row r="2464" spans="1:18" x14ac:dyDescent="0.2">
      <c r="A2464" s="1" t="s">
        <v>263</v>
      </c>
      <c r="B2464" s="1" t="s">
        <v>10</v>
      </c>
      <c r="C2464" s="2">
        <v>41155</v>
      </c>
      <c r="D2464" s="1">
        <v>10</v>
      </c>
      <c r="E2464" s="1" t="s">
        <v>42</v>
      </c>
      <c r="H2464" s="1" t="s">
        <v>54</v>
      </c>
      <c r="I2464" s="1" t="s">
        <v>12</v>
      </c>
      <c r="J2464" s="1" t="s">
        <v>127</v>
      </c>
      <c r="K2464" s="1" t="s">
        <v>14</v>
      </c>
      <c r="L2464" s="1" t="s">
        <v>12</v>
      </c>
      <c r="M2464" s="1" t="s">
        <v>12</v>
      </c>
      <c r="N2464" s="1">
        <v>27.12</v>
      </c>
      <c r="O2464" s="1" t="s">
        <v>31</v>
      </c>
      <c r="P2464" s="1" t="s">
        <v>37</v>
      </c>
      <c r="Q2464" s="1" t="s">
        <v>16</v>
      </c>
      <c r="R2464" s="1" t="str">
        <f>IF(N2464="","",VLOOKUP(N2464,Prior_levels,2,TRUE))</f>
        <v>M</v>
      </c>
    </row>
    <row r="2465" spans="1:18" x14ac:dyDescent="0.2">
      <c r="A2465" s="1" t="s">
        <v>263</v>
      </c>
      <c r="B2465" s="1" t="s">
        <v>10</v>
      </c>
      <c r="C2465" s="2">
        <v>41155</v>
      </c>
      <c r="D2465" s="1">
        <v>10</v>
      </c>
      <c r="E2465" s="1" t="s">
        <v>42</v>
      </c>
      <c r="H2465" s="1" t="s">
        <v>54</v>
      </c>
      <c r="I2465" s="1" t="s">
        <v>12</v>
      </c>
      <c r="J2465" s="1" t="s">
        <v>127</v>
      </c>
      <c r="K2465" s="1" t="s">
        <v>14</v>
      </c>
      <c r="L2465" s="1" t="s">
        <v>12</v>
      </c>
      <c r="M2465" s="1" t="s">
        <v>12</v>
      </c>
      <c r="N2465" s="1">
        <v>27.12</v>
      </c>
      <c r="O2465" s="1" t="s">
        <v>32</v>
      </c>
      <c r="P2465" s="1" t="s">
        <v>37</v>
      </c>
      <c r="Q2465" s="1" t="s">
        <v>16</v>
      </c>
      <c r="R2465" s="1" t="str">
        <f>IF(N2465="","",VLOOKUP(N2465,Prior_levels,2,TRUE))</f>
        <v>M</v>
      </c>
    </row>
    <row r="2466" spans="1:18" x14ac:dyDescent="0.2">
      <c r="A2466" s="1" t="s">
        <v>264</v>
      </c>
      <c r="B2466" s="1" t="s">
        <v>10</v>
      </c>
      <c r="C2466" s="2">
        <v>41155</v>
      </c>
      <c r="D2466" s="1">
        <v>10</v>
      </c>
      <c r="E2466" s="1" t="s">
        <v>42</v>
      </c>
      <c r="F2466" s="1" t="s">
        <v>28</v>
      </c>
      <c r="H2466" s="1" t="s">
        <v>48</v>
      </c>
      <c r="I2466" s="1" t="s">
        <v>12</v>
      </c>
      <c r="J2466" s="1" t="s">
        <v>43</v>
      </c>
      <c r="K2466" s="1" t="s">
        <v>14</v>
      </c>
      <c r="L2466" s="1" t="s">
        <v>12</v>
      </c>
      <c r="M2466" s="1" t="s">
        <v>12</v>
      </c>
      <c r="N2466" s="1">
        <v>30.18</v>
      </c>
      <c r="O2466" s="1" t="s">
        <v>15</v>
      </c>
      <c r="P2466" s="1">
        <v>5.5</v>
      </c>
      <c r="Q2466" s="1" t="s">
        <v>16</v>
      </c>
      <c r="R2466" s="1" t="str">
        <f>IF(N2466="","",VLOOKUP(N2466,Prior_levels,2,TRUE))</f>
        <v>H</v>
      </c>
    </row>
    <row r="2467" spans="1:18" x14ac:dyDescent="0.2">
      <c r="A2467" s="1" t="s">
        <v>264</v>
      </c>
      <c r="B2467" s="1" t="s">
        <v>10</v>
      </c>
      <c r="C2467" s="2">
        <v>41155</v>
      </c>
      <c r="D2467" s="1">
        <v>10</v>
      </c>
      <c r="E2467" s="1" t="s">
        <v>42</v>
      </c>
      <c r="F2467" s="1" t="s">
        <v>28</v>
      </c>
      <c r="H2467" s="1" t="s">
        <v>48</v>
      </c>
      <c r="I2467" s="1" t="s">
        <v>12</v>
      </c>
      <c r="J2467" s="1" t="s">
        <v>43</v>
      </c>
      <c r="K2467" s="1" t="s">
        <v>14</v>
      </c>
      <c r="L2467" s="1" t="s">
        <v>12</v>
      </c>
      <c r="M2467" s="1" t="s">
        <v>12</v>
      </c>
      <c r="N2467" s="1">
        <v>30.18</v>
      </c>
      <c r="O2467" s="1" t="s">
        <v>17</v>
      </c>
      <c r="P2467" s="1">
        <v>-0.09</v>
      </c>
      <c r="Q2467" s="1" t="s">
        <v>16</v>
      </c>
      <c r="R2467" s="1" t="str">
        <f>IF(N2467="","",VLOOKUP(N2467,Prior_levels,2,TRUE))</f>
        <v>H</v>
      </c>
    </row>
    <row r="2468" spans="1:18" x14ac:dyDescent="0.2">
      <c r="A2468" s="1" t="s">
        <v>264</v>
      </c>
      <c r="B2468" s="1" t="s">
        <v>10</v>
      </c>
      <c r="C2468" s="2">
        <v>41155</v>
      </c>
      <c r="D2468" s="1">
        <v>10</v>
      </c>
      <c r="E2468" s="1" t="s">
        <v>42</v>
      </c>
      <c r="F2468" s="1" t="s">
        <v>28</v>
      </c>
      <c r="H2468" s="1" t="s">
        <v>48</v>
      </c>
      <c r="I2468" s="1" t="s">
        <v>12</v>
      </c>
      <c r="J2468" s="1" t="s">
        <v>43</v>
      </c>
      <c r="K2468" s="1" t="s">
        <v>14</v>
      </c>
      <c r="L2468" s="1" t="s">
        <v>12</v>
      </c>
      <c r="M2468" s="1" t="s">
        <v>12</v>
      </c>
      <c r="N2468" s="1">
        <v>30.18</v>
      </c>
      <c r="O2468" s="1" t="s">
        <v>18</v>
      </c>
      <c r="P2468" s="1">
        <v>10</v>
      </c>
      <c r="Q2468" s="1" t="s">
        <v>16</v>
      </c>
      <c r="R2468" s="1" t="str">
        <f>IF(N2468="","",VLOOKUP(N2468,Prior_levels,2,TRUE))</f>
        <v>H</v>
      </c>
    </row>
    <row r="2469" spans="1:18" x14ac:dyDescent="0.2">
      <c r="A2469" s="1" t="s">
        <v>264</v>
      </c>
      <c r="B2469" s="1" t="s">
        <v>10</v>
      </c>
      <c r="C2469" s="2">
        <v>41155</v>
      </c>
      <c r="D2469" s="1">
        <v>10</v>
      </c>
      <c r="E2469" s="1" t="s">
        <v>42</v>
      </c>
      <c r="F2469" s="1" t="s">
        <v>28</v>
      </c>
      <c r="H2469" s="1" t="s">
        <v>48</v>
      </c>
      <c r="I2469" s="1" t="s">
        <v>12</v>
      </c>
      <c r="J2469" s="1" t="s">
        <v>43</v>
      </c>
      <c r="K2469" s="1" t="s">
        <v>14</v>
      </c>
      <c r="L2469" s="1" t="s">
        <v>12</v>
      </c>
      <c r="M2469" s="1" t="s">
        <v>12</v>
      </c>
      <c r="N2469" s="1">
        <v>30.18</v>
      </c>
      <c r="O2469" s="1" t="s">
        <v>19</v>
      </c>
      <c r="P2469" s="1">
        <v>12</v>
      </c>
      <c r="Q2469" s="1" t="s">
        <v>16</v>
      </c>
      <c r="R2469" s="1" t="str">
        <f>IF(N2469="","",VLOOKUP(N2469,Prior_levels,2,TRUE))</f>
        <v>H</v>
      </c>
    </row>
    <row r="2470" spans="1:18" x14ac:dyDescent="0.2">
      <c r="A2470" s="1" t="s">
        <v>264</v>
      </c>
      <c r="B2470" s="1" t="s">
        <v>10</v>
      </c>
      <c r="C2470" s="2">
        <v>41155</v>
      </c>
      <c r="D2470" s="1">
        <v>10</v>
      </c>
      <c r="E2470" s="1" t="s">
        <v>42</v>
      </c>
      <c r="F2470" s="1" t="s">
        <v>28</v>
      </c>
      <c r="H2470" s="1" t="s">
        <v>48</v>
      </c>
      <c r="I2470" s="1" t="s">
        <v>12</v>
      </c>
      <c r="J2470" s="1" t="s">
        <v>43</v>
      </c>
      <c r="K2470" s="1" t="s">
        <v>14</v>
      </c>
      <c r="L2470" s="1" t="s">
        <v>12</v>
      </c>
      <c r="M2470" s="1" t="s">
        <v>12</v>
      </c>
      <c r="N2470" s="1">
        <v>30.18</v>
      </c>
      <c r="O2470" s="1" t="s">
        <v>20</v>
      </c>
      <c r="P2470" s="1">
        <v>16.5</v>
      </c>
      <c r="Q2470" s="1" t="s">
        <v>16</v>
      </c>
      <c r="R2470" s="1" t="str">
        <f>IF(N2470="","",VLOOKUP(N2470,Prior_levels,2,TRUE))</f>
        <v>H</v>
      </c>
    </row>
    <row r="2471" spans="1:18" x14ac:dyDescent="0.2">
      <c r="A2471" s="1" t="s">
        <v>264</v>
      </c>
      <c r="B2471" s="1" t="s">
        <v>10</v>
      </c>
      <c r="C2471" s="2">
        <v>41155</v>
      </c>
      <c r="D2471" s="1">
        <v>10</v>
      </c>
      <c r="E2471" s="1" t="s">
        <v>42</v>
      </c>
      <c r="F2471" s="1" t="s">
        <v>28</v>
      </c>
      <c r="H2471" s="1" t="s">
        <v>48</v>
      </c>
      <c r="I2471" s="1" t="s">
        <v>12</v>
      </c>
      <c r="J2471" s="1" t="s">
        <v>43</v>
      </c>
      <c r="K2471" s="1" t="s">
        <v>14</v>
      </c>
      <c r="L2471" s="1" t="s">
        <v>12</v>
      </c>
      <c r="M2471" s="1" t="s">
        <v>12</v>
      </c>
      <c r="N2471" s="1">
        <v>30.18</v>
      </c>
      <c r="O2471" s="1" t="s">
        <v>21</v>
      </c>
      <c r="P2471" s="1">
        <v>16.5</v>
      </c>
      <c r="Q2471" s="1" t="s">
        <v>16</v>
      </c>
      <c r="R2471" s="1" t="str">
        <f>IF(N2471="","",VLOOKUP(N2471,Prior_levels,2,TRUE))</f>
        <v>H</v>
      </c>
    </row>
    <row r="2472" spans="1:18" x14ac:dyDescent="0.2">
      <c r="A2472" s="1" t="s">
        <v>264</v>
      </c>
      <c r="B2472" s="1" t="s">
        <v>10</v>
      </c>
      <c r="C2472" s="2">
        <v>41155</v>
      </c>
      <c r="D2472" s="1">
        <v>10</v>
      </c>
      <c r="E2472" s="1" t="s">
        <v>42</v>
      </c>
      <c r="F2472" s="1" t="s">
        <v>28</v>
      </c>
      <c r="H2472" s="1" t="s">
        <v>48</v>
      </c>
      <c r="I2472" s="1" t="s">
        <v>12</v>
      </c>
      <c r="J2472" s="1" t="s">
        <v>43</v>
      </c>
      <c r="K2472" s="1" t="s">
        <v>14</v>
      </c>
      <c r="L2472" s="1" t="s">
        <v>12</v>
      </c>
      <c r="M2472" s="1" t="s">
        <v>12</v>
      </c>
      <c r="N2472" s="1">
        <v>30.18</v>
      </c>
      <c r="O2472" s="1" t="s">
        <v>22</v>
      </c>
      <c r="P2472" s="1">
        <v>-0.85</v>
      </c>
      <c r="Q2472" s="1" t="s">
        <v>16</v>
      </c>
      <c r="R2472" s="1" t="str">
        <f>IF(N2472="","",VLOOKUP(N2472,Prior_levels,2,TRUE))</f>
        <v>H</v>
      </c>
    </row>
    <row r="2473" spans="1:18" x14ac:dyDescent="0.2">
      <c r="A2473" s="1" t="s">
        <v>264</v>
      </c>
      <c r="B2473" s="1" t="s">
        <v>10</v>
      </c>
      <c r="C2473" s="2">
        <v>41155</v>
      </c>
      <c r="D2473" s="1">
        <v>10</v>
      </c>
      <c r="E2473" s="1" t="s">
        <v>42</v>
      </c>
      <c r="F2473" s="1" t="s">
        <v>28</v>
      </c>
      <c r="H2473" s="1" t="s">
        <v>48</v>
      </c>
      <c r="I2473" s="1" t="s">
        <v>12</v>
      </c>
      <c r="J2473" s="1" t="s">
        <v>43</v>
      </c>
      <c r="K2473" s="1" t="s">
        <v>14</v>
      </c>
      <c r="L2473" s="1" t="s">
        <v>12</v>
      </c>
      <c r="M2473" s="1" t="s">
        <v>12</v>
      </c>
      <c r="N2473" s="1">
        <v>30.18</v>
      </c>
      <c r="O2473" s="1" t="s">
        <v>23</v>
      </c>
      <c r="P2473" s="1">
        <v>0.37</v>
      </c>
      <c r="Q2473" s="1" t="s">
        <v>16</v>
      </c>
      <c r="R2473" s="1" t="str">
        <f>IF(N2473="","",VLOOKUP(N2473,Prior_levels,2,TRUE))</f>
        <v>H</v>
      </c>
    </row>
    <row r="2474" spans="1:18" x14ac:dyDescent="0.2">
      <c r="A2474" s="1" t="s">
        <v>264</v>
      </c>
      <c r="B2474" s="1" t="s">
        <v>10</v>
      </c>
      <c r="C2474" s="2">
        <v>41155</v>
      </c>
      <c r="D2474" s="1">
        <v>10</v>
      </c>
      <c r="E2474" s="1" t="s">
        <v>42</v>
      </c>
      <c r="F2474" s="1" t="s">
        <v>28</v>
      </c>
      <c r="H2474" s="1" t="s">
        <v>48</v>
      </c>
      <c r="I2474" s="1" t="s">
        <v>12</v>
      </c>
      <c r="J2474" s="1" t="s">
        <v>43</v>
      </c>
      <c r="K2474" s="1" t="s">
        <v>14</v>
      </c>
      <c r="L2474" s="1" t="s">
        <v>12</v>
      </c>
      <c r="M2474" s="1" t="s">
        <v>12</v>
      </c>
      <c r="N2474" s="1">
        <v>30.18</v>
      </c>
      <c r="O2474" s="1" t="s">
        <v>25</v>
      </c>
      <c r="P2474" s="1">
        <v>-0.71</v>
      </c>
      <c r="Q2474" s="1" t="s">
        <v>16</v>
      </c>
      <c r="R2474" s="1" t="str">
        <f>IF(N2474="","",VLOOKUP(N2474,Prior_levels,2,TRUE))</f>
        <v>H</v>
      </c>
    </row>
    <row r="2475" spans="1:18" x14ac:dyDescent="0.2">
      <c r="A2475" s="1" t="s">
        <v>264</v>
      </c>
      <c r="B2475" s="1" t="s">
        <v>10</v>
      </c>
      <c r="C2475" s="2">
        <v>41155</v>
      </c>
      <c r="D2475" s="1">
        <v>10</v>
      </c>
      <c r="E2475" s="1" t="s">
        <v>42</v>
      </c>
      <c r="F2475" s="1" t="s">
        <v>28</v>
      </c>
      <c r="H2475" s="1" t="s">
        <v>48</v>
      </c>
      <c r="I2475" s="1" t="s">
        <v>12</v>
      </c>
      <c r="J2475" s="1" t="s">
        <v>43</v>
      </c>
      <c r="K2475" s="1" t="s">
        <v>14</v>
      </c>
      <c r="L2475" s="1" t="s">
        <v>12</v>
      </c>
      <c r="M2475" s="1" t="s">
        <v>12</v>
      </c>
      <c r="N2475" s="1">
        <v>30.18</v>
      </c>
      <c r="O2475" s="1" t="s">
        <v>26</v>
      </c>
      <c r="P2475" s="1">
        <v>11</v>
      </c>
      <c r="Q2475" s="1" t="s">
        <v>16</v>
      </c>
      <c r="R2475" s="1" t="str">
        <f>IF(N2475="","",VLOOKUP(N2475,Prior_levels,2,TRUE))</f>
        <v>H</v>
      </c>
    </row>
    <row r="2476" spans="1:18" x14ac:dyDescent="0.2">
      <c r="A2476" s="1" t="s">
        <v>264</v>
      </c>
      <c r="B2476" s="1" t="s">
        <v>10</v>
      </c>
      <c r="C2476" s="2">
        <v>41155</v>
      </c>
      <c r="D2476" s="1">
        <v>10</v>
      </c>
      <c r="E2476" s="1" t="s">
        <v>42</v>
      </c>
      <c r="F2476" s="1" t="s">
        <v>28</v>
      </c>
      <c r="H2476" s="1" t="s">
        <v>48</v>
      </c>
      <c r="I2476" s="1" t="s">
        <v>12</v>
      </c>
      <c r="J2476" s="1" t="s">
        <v>43</v>
      </c>
      <c r="K2476" s="1" t="s">
        <v>14</v>
      </c>
      <c r="L2476" s="1" t="s">
        <v>12</v>
      </c>
      <c r="M2476" s="1" t="s">
        <v>12</v>
      </c>
      <c r="N2476" s="1">
        <v>30.18</v>
      </c>
      <c r="O2476" s="1" t="s">
        <v>24</v>
      </c>
      <c r="P2476" s="1">
        <v>0.79</v>
      </c>
      <c r="Q2476" s="1" t="s">
        <v>16</v>
      </c>
      <c r="R2476" s="1" t="str">
        <f>IF(N2476="","",VLOOKUP(N2476,Prior_levels,2,TRUE))</f>
        <v>H</v>
      </c>
    </row>
    <row r="2477" spans="1:18" x14ac:dyDescent="0.2">
      <c r="A2477" s="1" t="s">
        <v>264</v>
      </c>
      <c r="B2477" s="1" t="s">
        <v>10</v>
      </c>
      <c r="C2477" s="2">
        <v>41155</v>
      </c>
      <c r="D2477" s="1">
        <v>10</v>
      </c>
      <c r="E2477" s="1" t="s">
        <v>42</v>
      </c>
      <c r="F2477" s="1" t="s">
        <v>28</v>
      </c>
      <c r="H2477" s="1" t="s">
        <v>48</v>
      </c>
      <c r="I2477" s="1" t="s">
        <v>12</v>
      </c>
      <c r="J2477" s="1" t="s">
        <v>43</v>
      </c>
      <c r="K2477" s="1" t="s">
        <v>14</v>
      </c>
      <c r="L2477" s="1" t="s">
        <v>12</v>
      </c>
      <c r="M2477" s="1" t="s">
        <v>12</v>
      </c>
      <c r="N2477" s="1">
        <v>30.18</v>
      </c>
      <c r="O2477" s="1" t="s">
        <v>32</v>
      </c>
      <c r="P2477" s="1" t="s">
        <v>37</v>
      </c>
      <c r="Q2477" s="1" t="s">
        <v>16</v>
      </c>
      <c r="R2477" s="1" t="str">
        <f>IF(N2477="","",VLOOKUP(N2477,Prior_levels,2,TRUE))</f>
        <v>H</v>
      </c>
    </row>
    <row r="2478" spans="1:18" x14ac:dyDescent="0.2">
      <c r="A2478" s="1" t="s">
        <v>264</v>
      </c>
      <c r="B2478" s="1" t="s">
        <v>10</v>
      </c>
      <c r="C2478" s="2">
        <v>41155</v>
      </c>
      <c r="D2478" s="1">
        <v>10</v>
      </c>
      <c r="E2478" s="1" t="s">
        <v>42</v>
      </c>
      <c r="F2478" s="1" t="s">
        <v>28</v>
      </c>
      <c r="H2478" s="1" t="s">
        <v>48</v>
      </c>
      <c r="I2478" s="1" t="s">
        <v>12</v>
      </c>
      <c r="J2478" s="1" t="s">
        <v>43</v>
      </c>
      <c r="K2478" s="1" t="s">
        <v>14</v>
      </c>
      <c r="L2478" s="1" t="s">
        <v>12</v>
      </c>
      <c r="M2478" s="1" t="s">
        <v>12</v>
      </c>
      <c r="N2478" s="1">
        <v>30.18</v>
      </c>
      <c r="O2478" s="1" t="s">
        <v>27</v>
      </c>
      <c r="P2478" s="1" t="s">
        <v>37</v>
      </c>
      <c r="Q2478" s="1" t="s">
        <v>16</v>
      </c>
      <c r="R2478" s="1" t="str">
        <f>IF(N2478="","",VLOOKUP(N2478,Prior_levels,2,TRUE))</f>
        <v>H</v>
      </c>
    </row>
    <row r="2479" spans="1:18" x14ac:dyDescent="0.2">
      <c r="A2479" s="1" t="s">
        <v>264</v>
      </c>
      <c r="B2479" s="1" t="s">
        <v>10</v>
      </c>
      <c r="C2479" s="2">
        <v>41155</v>
      </c>
      <c r="D2479" s="1">
        <v>10</v>
      </c>
      <c r="E2479" s="1" t="s">
        <v>42</v>
      </c>
      <c r="F2479" s="1" t="s">
        <v>28</v>
      </c>
      <c r="H2479" s="1" t="s">
        <v>48</v>
      </c>
      <c r="I2479" s="1" t="s">
        <v>12</v>
      </c>
      <c r="J2479" s="1" t="s">
        <v>43</v>
      </c>
      <c r="K2479" s="1" t="s">
        <v>14</v>
      </c>
      <c r="L2479" s="1" t="s">
        <v>12</v>
      </c>
      <c r="M2479" s="1" t="s">
        <v>12</v>
      </c>
      <c r="N2479" s="1">
        <v>30.18</v>
      </c>
      <c r="O2479" s="1" t="s">
        <v>29</v>
      </c>
      <c r="P2479" s="1" t="s">
        <v>37</v>
      </c>
      <c r="Q2479" s="1" t="s">
        <v>16</v>
      </c>
      <c r="R2479" s="1" t="str">
        <f>IF(N2479="","",VLOOKUP(N2479,Prior_levels,2,TRUE))</f>
        <v>H</v>
      </c>
    </row>
    <row r="2480" spans="1:18" x14ac:dyDescent="0.2">
      <c r="A2480" s="1" t="s">
        <v>264</v>
      </c>
      <c r="B2480" s="1" t="s">
        <v>10</v>
      </c>
      <c r="C2480" s="2">
        <v>41155</v>
      </c>
      <c r="D2480" s="1">
        <v>10</v>
      </c>
      <c r="E2480" s="1" t="s">
        <v>42</v>
      </c>
      <c r="F2480" s="1" t="s">
        <v>28</v>
      </c>
      <c r="H2480" s="1" t="s">
        <v>48</v>
      </c>
      <c r="I2480" s="1" t="s">
        <v>12</v>
      </c>
      <c r="J2480" s="1" t="s">
        <v>43</v>
      </c>
      <c r="K2480" s="1" t="s">
        <v>14</v>
      </c>
      <c r="L2480" s="1" t="s">
        <v>12</v>
      </c>
      <c r="M2480" s="1" t="s">
        <v>12</v>
      </c>
      <c r="N2480" s="1">
        <v>30.18</v>
      </c>
      <c r="O2480" s="1" t="s">
        <v>30</v>
      </c>
      <c r="P2480" s="1" t="s">
        <v>37</v>
      </c>
      <c r="Q2480" s="1" t="s">
        <v>16</v>
      </c>
      <c r="R2480" s="1" t="str">
        <f>IF(N2480="","",VLOOKUP(N2480,Prior_levels,2,TRUE))</f>
        <v>H</v>
      </c>
    </row>
    <row r="2481" spans="1:18" x14ac:dyDescent="0.2">
      <c r="A2481" s="1" t="s">
        <v>264</v>
      </c>
      <c r="B2481" s="1" t="s">
        <v>10</v>
      </c>
      <c r="C2481" s="2">
        <v>41155</v>
      </c>
      <c r="D2481" s="1">
        <v>10</v>
      </c>
      <c r="E2481" s="1" t="s">
        <v>42</v>
      </c>
      <c r="F2481" s="1" t="s">
        <v>28</v>
      </c>
      <c r="H2481" s="1" t="s">
        <v>48</v>
      </c>
      <c r="I2481" s="1" t="s">
        <v>12</v>
      </c>
      <c r="J2481" s="1" t="s">
        <v>43</v>
      </c>
      <c r="K2481" s="1" t="s">
        <v>14</v>
      </c>
      <c r="L2481" s="1" t="s">
        <v>12</v>
      </c>
      <c r="M2481" s="1" t="s">
        <v>12</v>
      </c>
      <c r="N2481" s="1">
        <v>30.18</v>
      </c>
      <c r="O2481" s="1" t="s">
        <v>31</v>
      </c>
      <c r="P2481" s="1" t="s">
        <v>37</v>
      </c>
      <c r="Q2481" s="1" t="s">
        <v>16</v>
      </c>
      <c r="R2481" s="1" t="str">
        <f>IF(N2481="","",VLOOKUP(N2481,Prior_levels,2,TRUE))</f>
        <v>H</v>
      </c>
    </row>
    <row r="2482" spans="1:18" x14ac:dyDescent="0.2">
      <c r="A2482" s="1" t="s">
        <v>265</v>
      </c>
      <c r="B2482" s="1" t="s">
        <v>12</v>
      </c>
      <c r="C2482" s="2">
        <v>41155</v>
      </c>
      <c r="D2482" s="1">
        <v>10</v>
      </c>
      <c r="E2482" s="1" t="s">
        <v>11</v>
      </c>
      <c r="F2482" s="1" t="s">
        <v>28</v>
      </c>
      <c r="H2482" s="1" t="s">
        <v>48</v>
      </c>
      <c r="I2482" s="1" t="s">
        <v>12</v>
      </c>
      <c r="J2482" s="1" t="s">
        <v>43</v>
      </c>
      <c r="K2482" s="1" t="s">
        <v>14</v>
      </c>
      <c r="L2482" s="1" t="s">
        <v>12</v>
      </c>
      <c r="M2482" s="1" t="s">
        <v>12</v>
      </c>
      <c r="N2482" s="1">
        <v>30.18</v>
      </c>
      <c r="O2482" s="1" t="s">
        <v>15</v>
      </c>
      <c r="P2482" s="1">
        <v>5.0999999999999996</v>
      </c>
      <c r="Q2482" s="1" t="s">
        <v>16</v>
      </c>
      <c r="R2482" s="1" t="str">
        <f>IF(N2482="","",VLOOKUP(N2482,Prior_levels,2,TRUE))</f>
        <v>H</v>
      </c>
    </row>
    <row r="2483" spans="1:18" x14ac:dyDescent="0.2">
      <c r="A2483" s="1" t="s">
        <v>265</v>
      </c>
      <c r="B2483" s="1" t="s">
        <v>12</v>
      </c>
      <c r="C2483" s="2">
        <v>41155</v>
      </c>
      <c r="D2483" s="1">
        <v>10</v>
      </c>
      <c r="E2483" s="1" t="s">
        <v>11</v>
      </c>
      <c r="F2483" s="1" t="s">
        <v>28</v>
      </c>
      <c r="H2483" s="1" t="s">
        <v>48</v>
      </c>
      <c r="I2483" s="1" t="s">
        <v>12</v>
      </c>
      <c r="J2483" s="1" t="s">
        <v>43</v>
      </c>
      <c r="K2483" s="1" t="s">
        <v>14</v>
      </c>
      <c r="L2483" s="1" t="s">
        <v>12</v>
      </c>
      <c r="M2483" s="1" t="s">
        <v>12</v>
      </c>
      <c r="N2483" s="1">
        <v>30.18</v>
      </c>
      <c r="O2483" s="1" t="s">
        <v>17</v>
      </c>
      <c r="P2483" s="1">
        <v>-0.49</v>
      </c>
      <c r="Q2483" s="1" t="s">
        <v>16</v>
      </c>
      <c r="R2483" s="1" t="str">
        <f>IF(N2483="","",VLOOKUP(N2483,Prior_levels,2,TRUE))</f>
        <v>H</v>
      </c>
    </row>
    <row r="2484" spans="1:18" x14ac:dyDescent="0.2">
      <c r="A2484" s="1" t="s">
        <v>265</v>
      </c>
      <c r="B2484" s="1" t="s">
        <v>12</v>
      </c>
      <c r="C2484" s="2">
        <v>41155</v>
      </c>
      <c r="D2484" s="1">
        <v>10</v>
      </c>
      <c r="E2484" s="1" t="s">
        <v>11</v>
      </c>
      <c r="F2484" s="1" t="s">
        <v>28</v>
      </c>
      <c r="H2484" s="1" t="s">
        <v>48</v>
      </c>
      <c r="I2484" s="1" t="s">
        <v>12</v>
      </c>
      <c r="J2484" s="1" t="s">
        <v>43</v>
      </c>
      <c r="K2484" s="1" t="s">
        <v>14</v>
      </c>
      <c r="L2484" s="1" t="s">
        <v>12</v>
      </c>
      <c r="M2484" s="1" t="s">
        <v>12</v>
      </c>
      <c r="N2484" s="1">
        <v>30.18</v>
      </c>
      <c r="O2484" s="1" t="s">
        <v>18</v>
      </c>
      <c r="P2484" s="1">
        <v>12</v>
      </c>
      <c r="Q2484" s="1" t="s">
        <v>16</v>
      </c>
      <c r="R2484" s="1" t="str">
        <f>IF(N2484="","",VLOOKUP(N2484,Prior_levels,2,TRUE))</f>
        <v>H</v>
      </c>
    </row>
    <row r="2485" spans="1:18" x14ac:dyDescent="0.2">
      <c r="A2485" s="1" t="s">
        <v>265</v>
      </c>
      <c r="B2485" s="1" t="s">
        <v>12</v>
      </c>
      <c r="C2485" s="2">
        <v>41155</v>
      </c>
      <c r="D2485" s="1">
        <v>10</v>
      </c>
      <c r="E2485" s="1" t="s">
        <v>11</v>
      </c>
      <c r="F2485" s="1" t="s">
        <v>28</v>
      </c>
      <c r="H2485" s="1" t="s">
        <v>48</v>
      </c>
      <c r="I2485" s="1" t="s">
        <v>12</v>
      </c>
      <c r="J2485" s="1" t="s">
        <v>43</v>
      </c>
      <c r="K2485" s="1" t="s">
        <v>14</v>
      </c>
      <c r="L2485" s="1" t="s">
        <v>12</v>
      </c>
      <c r="M2485" s="1" t="s">
        <v>12</v>
      </c>
      <c r="N2485" s="1">
        <v>30.18</v>
      </c>
      <c r="O2485" s="1" t="s">
        <v>19</v>
      </c>
      <c r="P2485" s="1">
        <v>10</v>
      </c>
      <c r="Q2485" s="1" t="s">
        <v>16</v>
      </c>
      <c r="R2485" s="1" t="str">
        <f>IF(N2485="","",VLOOKUP(N2485,Prior_levels,2,TRUE))</f>
        <v>H</v>
      </c>
    </row>
    <row r="2486" spans="1:18" x14ac:dyDescent="0.2">
      <c r="A2486" s="1" t="s">
        <v>265</v>
      </c>
      <c r="B2486" s="1" t="s">
        <v>12</v>
      </c>
      <c r="C2486" s="2">
        <v>41155</v>
      </c>
      <c r="D2486" s="1">
        <v>10</v>
      </c>
      <c r="E2486" s="1" t="s">
        <v>11</v>
      </c>
      <c r="F2486" s="1" t="s">
        <v>28</v>
      </c>
      <c r="H2486" s="1" t="s">
        <v>48</v>
      </c>
      <c r="I2486" s="1" t="s">
        <v>12</v>
      </c>
      <c r="J2486" s="1" t="s">
        <v>43</v>
      </c>
      <c r="K2486" s="1" t="s">
        <v>14</v>
      </c>
      <c r="L2486" s="1" t="s">
        <v>12</v>
      </c>
      <c r="M2486" s="1" t="s">
        <v>12</v>
      </c>
      <c r="N2486" s="1">
        <v>30.18</v>
      </c>
      <c r="O2486" s="1" t="s">
        <v>20</v>
      </c>
      <c r="P2486" s="1">
        <v>13.5</v>
      </c>
      <c r="Q2486" s="1" t="s">
        <v>16</v>
      </c>
      <c r="R2486" s="1" t="str">
        <f>IF(N2486="","",VLOOKUP(N2486,Prior_levels,2,TRUE))</f>
        <v>H</v>
      </c>
    </row>
    <row r="2487" spans="1:18" x14ac:dyDescent="0.2">
      <c r="A2487" s="1" t="s">
        <v>265</v>
      </c>
      <c r="B2487" s="1" t="s">
        <v>12</v>
      </c>
      <c r="C2487" s="2">
        <v>41155</v>
      </c>
      <c r="D2487" s="1">
        <v>10</v>
      </c>
      <c r="E2487" s="1" t="s">
        <v>11</v>
      </c>
      <c r="F2487" s="1" t="s">
        <v>28</v>
      </c>
      <c r="H2487" s="1" t="s">
        <v>48</v>
      </c>
      <c r="I2487" s="1" t="s">
        <v>12</v>
      </c>
      <c r="J2487" s="1" t="s">
        <v>43</v>
      </c>
      <c r="K2487" s="1" t="s">
        <v>14</v>
      </c>
      <c r="L2487" s="1" t="s">
        <v>12</v>
      </c>
      <c r="M2487" s="1" t="s">
        <v>12</v>
      </c>
      <c r="N2487" s="1">
        <v>30.18</v>
      </c>
      <c r="O2487" s="1" t="s">
        <v>21</v>
      </c>
      <c r="P2487" s="1">
        <v>15.5</v>
      </c>
      <c r="Q2487" s="1" t="s">
        <v>16</v>
      </c>
      <c r="R2487" s="1" t="str">
        <f>IF(N2487="","",VLOOKUP(N2487,Prior_levels,2,TRUE))</f>
        <v>H</v>
      </c>
    </row>
    <row r="2488" spans="1:18" x14ac:dyDescent="0.2">
      <c r="A2488" s="1" t="s">
        <v>265</v>
      </c>
      <c r="B2488" s="1" t="s">
        <v>12</v>
      </c>
      <c r="C2488" s="2">
        <v>41155</v>
      </c>
      <c r="D2488" s="1">
        <v>10</v>
      </c>
      <c r="E2488" s="1" t="s">
        <v>11</v>
      </c>
      <c r="F2488" s="1" t="s">
        <v>28</v>
      </c>
      <c r="H2488" s="1" t="s">
        <v>48</v>
      </c>
      <c r="I2488" s="1" t="s">
        <v>12</v>
      </c>
      <c r="J2488" s="1" t="s">
        <v>43</v>
      </c>
      <c r="K2488" s="1" t="s">
        <v>14</v>
      </c>
      <c r="L2488" s="1" t="s">
        <v>12</v>
      </c>
      <c r="M2488" s="1" t="s">
        <v>12</v>
      </c>
      <c r="N2488" s="1">
        <v>30.18</v>
      </c>
      <c r="O2488" s="1" t="s">
        <v>22</v>
      </c>
      <c r="P2488" s="1">
        <v>0.15</v>
      </c>
      <c r="Q2488" s="1" t="s">
        <v>16</v>
      </c>
      <c r="R2488" s="1" t="str">
        <f>IF(N2488="","",VLOOKUP(N2488,Prior_levels,2,TRUE))</f>
        <v>H</v>
      </c>
    </row>
    <row r="2489" spans="1:18" x14ac:dyDescent="0.2">
      <c r="A2489" s="1" t="s">
        <v>265</v>
      </c>
      <c r="B2489" s="1" t="s">
        <v>12</v>
      </c>
      <c r="C2489" s="2">
        <v>41155</v>
      </c>
      <c r="D2489" s="1">
        <v>10</v>
      </c>
      <c r="E2489" s="1" t="s">
        <v>11</v>
      </c>
      <c r="F2489" s="1" t="s">
        <v>28</v>
      </c>
      <c r="H2489" s="1" t="s">
        <v>48</v>
      </c>
      <c r="I2489" s="1" t="s">
        <v>12</v>
      </c>
      <c r="J2489" s="1" t="s">
        <v>43</v>
      </c>
      <c r="K2489" s="1" t="s">
        <v>14</v>
      </c>
      <c r="L2489" s="1" t="s">
        <v>12</v>
      </c>
      <c r="M2489" s="1" t="s">
        <v>12</v>
      </c>
      <c r="N2489" s="1">
        <v>30.18</v>
      </c>
      <c r="O2489" s="1" t="s">
        <v>23</v>
      </c>
      <c r="P2489" s="1">
        <v>-0.63</v>
      </c>
      <c r="Q2489" s="1" t="s">
        <v>16</v>
      </c>
      <c r="R2489" s="1" t="str">
        <f>IF(N2489="","",VLOOKUP(N2489,Prior_levels,2,TRUE))</f>
        <v>H</v>
      </c>
    </row>
    <row r="2490" spans="1:18" x14ac:dyDescent="0.2">
      <c r="A2490" s="1" t="s">
        <v>265</v>
      </c>
      <c r="B2490" s="1" t="s">
        <v>12</v>
      </c>
      <c r="C2490" s="2">
        <v>41155</v>
      </c>
      <c r="D2490" s="1">
        <v>10</v>
      </c>
      <c r="E2490" s="1" t="s">
        <v>11</v>
      </c>
      <c r="F2490" s="1" t="s">
        <v>28</v>
      </c>
      <c r="H2490" s="1" t="s">
        <v>48</v>
      </c>
      <c r="I2490" s="1" t="s">
        <v>12</v>
      </c>
      <c r="J2490" s="1" t="s">
        <v>43</v>
      </c>
      <c r="K2490" s="1" t="s">
        <v>14</v>
      </c>
      <c r="L2490" s="1" t="s">
        <v>12</v>
      </c>
      <c r="M2490" s="1" t="s">
        <v>12</v>
      </c>
      <c r="N2490" s="1">
        <v>30.18</v>
      </c>
      <c r="O2490" s="1" t="s">
        <v>24</v>
      </c>
      <c r="P2490" s="1">
        <v>-2.21</v>
      </c>
      <c r="Q2490" s="1" t="s">
        <v>16</v>
      </c>
      <c r="R2490" s="1" t="str">
        <f>IF(N2490="","",VLOOKUP(N2490,Prior_levels,2,TRUE))</f>
        <v>H</v>
      </c>
    </row>
    <row r="2491" spans="1:18" x14ac:dyDescent="0.2">
      <c r="A2491" s="1" t="s">
        <v>265</v>
      </c>
      <c r="B2491" s="1" t="s">
        <v>12</v>
      </c>
      <c r="C2491" s="2">
        <v>41155</v>
      </c>
      <c r="D2491" s="1">
        <v>10</v>
      </c>
      <c r="E2491" s="1" t="s">
        <v>11</v>
      </c>
      <c r="F2491" s="1" t="s">
        <v>28</v>
      </c>
      <c r="H2491" s="1" t="s">
        <v>48</v>
      </c>
      <c r="I2491" s="1" t="s">
        <v>12</v>
      </c>
      <c r="J2491" s="1" t="s">
        <v>43</v>
      </c>
      <c r="K2491" s="1" t="s">
        <v>14</v>
      </c>
      <c r="L2491" s="1" t="s">
        <v>12</v>
      </c>
      <c r="M2491" s="1" t="s">
        <v>12</v>
      </c>
      <c r="N2491" s="1">
        <v>30.18</v>
      </c>
      <c r="O2491" s="1" t="s">
        <v>25</v>
      </c>
      <c r="P2491" s="1">
        <v>-1.71</v>
      </c>
      <c r="Q2491" s="1" t="s">
        <v>16</v>
      </c>
      <c r="R2491" s="1" t="str">
        <f>IF(N2491="","",VLOOKUP(N2491,Prior_levels,2,TRUE))</f>
        <v>H</v>
      </c>
    </row>
    <row r="2492" spans="1:18" x14ac:dyDescent="0.2">
      <c r="A2492" s="1" t="s">
        <v>265</v>
      </c>
      <c r="B2492" s="1" t="s">
        <v>12</v>
      </c>
      <c r="C2492" s="2">
        <v>41155</v>
      </c>
      <c r="D2492" s="1">
        <v>10</v>
      </c>
      <c r="E2492" s="1" t="s">
        <v>11</v>
      </c>
      <c r="F2492" s="1" t="s">
        <v>28</v>
      </c>
      <c r="H2492" s="1" t="s">
        <v>48</v>
      </c>
      <c r="I2492" s="1" t="s">
        <v>12</v>
      </c>
      <c r="J2492" s="1" t="s">
        <v>43</v>
      </c>
      <c r="K2492" s="1" t="s">
        <v>14</v>
      </c>
      <c r="L2492" s="1" t="s">
        <v>12</v>
      </c>
      <c r="M2492" s="1" t="s">
        <v>12</v>
      </c>
      <c r="N2492" s="1">
        <v>30.18</v>
      </c>
      <c r="O2492" s="1" t="s">
        <v>26</v>
      </c>
      <c r="P2492" s="1">
        <v>8</v>
      </c>
      <c r="Q2492" s="1" t="s">
        <v>16</v>
      </c>
      <c r="R2492" s="1" t="str">
        <f>IF(N2492="","",VLOOKUP(N2492,Prior_levels,2,TRUE))</f>
        <v>H</v>
      </c>
    </row>
    <row r="2493" spans="1:18" x14ac:dyDescent="0.2">
      <c r="A2493" s="1" t="s">
        <v>265</v>
      </c>
      <c r="B2493" s="1" t="s">
        <v>12</v>
      </c>
      <c r="C2493" s="2">
        <v>41155</v>
      </c>
      <c r="D2493" s="1">
        <v>10</v>
      </c>
      <c r="E2493" s="1" t="s">
        <v>11</v>
      </c>
      <c r="F2493" s="1" t="s">
        <v>28</v>
      </c>
      <c r="H2493" s="1" t="s">
        <v>48</v>
      </c>
      <c r="I2493" s="1" t="s">
        <v>12</v>
      </c>
      <c r="J2493" s="1" t="s">
        <v>43</v>
      </c>
      <c r="K2493" s="1" t="s">
        <v>14</v>
      </c>
      <c r="L2493" s="1" t="s">
        <v>12</v>
      </c>
      <c r="M2493" s="1" t="s">
        <v>12</v>
      </c>
      <c r="N2493" s="1">
        <v>30.18</v>
      </c>
      <c r="O2493" s="1" t="s">
        <v>27</v>
      </c>
      <c r="P2493" s="1" t="s">
        <v>37</v>
      </c>
      <c r="Q2493" s="1" t="s">
        <v>16</v>
      </c>
      <c r="R2493" s="1" t="str">
        <f>IF(N2493="","",VLOOKUP(N2493,Prior_levels,2,TRUE))</f>
        <v>H</v>
      </c>
    </row>
    <row r="2494" spans="1:18" x14ac:dyDescent="0.2">
      <c r="A2494" s="1" t="s">
        <v>265</v>
      </c>
      <c r="B2494" s="1" t="s">
        <v>12</v>
      </c>
      <c r="C2494" s="2">
        <v>41155</v>
      </c>
      <c r="D2494" s="1">
        <v>10</v>
      </c>
      <c r="E2494" s="1" t="s">
        <v>11</v>
      </c>
      <c r="F2494" s="1" t="s">
        <v>28</v>
      </c>
      <c r="H2494" s="1" t="s">
        <v>48</v>
      </c>
      <c r="I2494" s="1" t="s">
        <v>12</v>
      </c>
      <c r="J2494" s="1" t="s">
        <v>43</v>
      </c>
      <c r="K2494" s="1" t="s">
        <v>14</v>
      </c>
      <c r="L2494" s="1" t="s">
        <v>12</v>
      </c>
      <c r="M2494" s="1" t="s">
        <v>12</v>
      </c>
      <c r="N2494" s="1">
        <v>30.18</v>
      </c>
      <c r="O2494" s="1" t="s">
        <v>29</v>
      </c>
      <c r="P2494" s="1" t="s">
        <v>37</v>
      </c>
      <c r="Q2494" s="1" t="s">
        <v>16</v>
      </c>
      <c r="R2494" s="1" t="str">
        <f>IF(N2494="","",VLOOKUP(N2494,Prior_levels,2,TRUE))</f>
        <v>H</v>
      </c>
    </row>
    <row r="2495" spans="1:18" x14ac:dyDescent="0.2">
      <c r="A2495" s="1" t="s">
        <v>265</v>
      </c>
      <c r="B2495" s="1" t="s">
        <v>12</v>
      </c>
      <c r="C2495" s="2">
        <v>41155</v>
      </c>
      <c r="D2495" s="1">
        <v>10</v>
      </c>
      <c r="E2495" s="1" t="s">
        <v>11</v>
      </c>
      <c r="F2495" s="1" t="s">
        <v>28</v>
      </c>
      <c r="H2495" s="1" t="s">
        <v>48</v>
      </c>
      <c r="I2495" s="1" t="s">
        <v>12</v>
      </c>
      <c r="J2495" s="1" t="s">
        <v>43</v>
      </c>
      <c r="K2495" s="1" t="s">
        <v>14</v>
      </c>
      <c r="L2495" s="1" t="s">
        <v>12</v>
      </c>
      <c r="M2495" s="1" t="s">
        <v>12</v>
      </c>
      <c r="N2495" s="1">
        <v>30.18</v>
      </c>
      <c r="O2495" s="1" t="s">
        <v>30</v>
      </c>
      <c r="P2495" s="1" t="s">
        <v>37</v>
      </c>
      <c r="Q2495" s="1" t="s">
        <v>16</v>
      </c>
      <c r="R2495" s="1" t="str">
        <f>IF(N2495="","",VLOOKUP(N2495,Prior_levels,2,TRUE))</f>
        <v>H</v>
      </c>
    </row>
    <row r="2496" spans="1:18" x14ac:dyDescent="0.2">
      <c r="A2496" s="1" t="s">
        <v>265</v>
      </c>
      <c r="B2496" s="1" t="s">
        <v>12</v>
      </c>
      <c r="C2496" s="2">
        <v>41155</v>
      </c>
      <c r="D2496" s="1">
        <v>10</v>
      </c>
      <c r="E2496" s="1" t="s">
        <v>11</v>
      </c>
      <c r="F2496" s="1" t="s">
        <v>28</v>
      </c>
      <c r="H2496" s="1" t="s">
        <v>48</v>
      </c>
      <c r="I2496" s="1" t="s">
        <v>12</v>
      </c>
      <c r="J2496" s="1" t="s">
        <v>43</v>
      </c>
      <c r="K2496" s="1" t="s">
        <v>14</v>
      </c>
      <c r="L2496" s="1" t="s">
        <v>12</v>
      </c>
      <c r="M2496" s="1" t="s">
        <v>12</v>
      </c>
      <c r="N2496" s="1">
        <v>30.18</v>
      </c>
      <c r="O2496" s="1" t="s">
        <v>31</v>
      </c>
      <c r="P2496" s="1" t="s">
        <v>28</v>
      </c>
      <c r="Q2496" s="1" t="s">
        <v>16</v>
      </c>
      <c r="R2496" s="1" t="str">
        <f>IF(N2496="","",VLOOKUP(N2496,Prior_levels,2,TRUE))</f>
        <v>H</v>
      </c>
    </row>
    <row r="2497" spans="1:18" x14ac:dyDescent="0.2">
      <c r="A2497" s="1" t="s">
        <v>265</v>
      </c>
      <c r="B2497" s="1" t="s">
        <v>12</v>
      </c>
      <c r="C2497" s="2">
        <v>41155</v>
      </c>
      <c r="D2497" s="1">
        <v>10</v>
      </c>
      <c r="E2497" s="1" t="s">
        <v>11</v>
      </c>
      <c r="F2497" s="1" t="s">
        <v>28</v>
      </c>
      <c r="H2497" s="1" t="s">
        <v>48</v>
      </c>
      <c r="I2497" s="1" t="s">
        <v>12</v>
      </c>
      <c r="J2497" s="1" t="s">
        <v>43</v>
      </c>
      <c r="K2497" s="1" t="s">
        <v>14</v>
      </c>
      <c r="L2497" s="1" t="s">
        <v>12</v>
      </c>
      <c r="M2497" s="1" t="s">
        <v>12</v>
      </c>
      <c r="N2497" s="1">
        <v>30.18</v>
      </c>
      <c r="O2497" s="1" t="s">
        <v>32</v>
      </c>
      <c r="P2497" s="1" t="s">
        <v>37</v>
      </c>
      <c r="Q2497" s="1" t="s">
        <v>16</v>
      </c>
      <c r="R2497" s="1" t="str">
        <f>IF(N2497="","",VLOOKUP(N2497,Prior_levels,2,TRUE))</f>
        <v>H</v>
      </c>
    </row>
    <row r="2498" spans="1:18" x14ac:dyDescent="0.2">
      <c r="A2498" s="1" t="s">
        <v>266</v>
      </c>
      <c r="B2498" s="1" t="s">
        <v>10</v>
      </c>
      <c r="C2498" s="2">
        <v>41155</v>
      </c>
      <c r="D2498" s="1">
        <v>10</v>
      </c>
      <c r="E2498" s="1" t="s">
        <v>39</v>
      </c>
      <c r="H2498" s="1" t="s">
        <v>54</v>
      </c>
      <c r="I2498" s="1" t="s">
        <v>12</v>
      </c>
      <c r="J2498" s="1" t="s">
        <v>201</v>
      </c>
      <c r="K2498" s="1" t="s">
        <v>14</v>
      </c>
      <c r="L2498" s="1" t="s">
        <v>12</v>
      </c>
      <c r="M2498" s="1" t="s">
        <v>12</v>
      </c>
      <c r="N2498" s="1">
        <v>21.12</v>
      </c>
      <c r="O2498" s="1" t="s">
        <v>15</v>
      </c>
      <c r="P2498" s="1">
        <v>3.6</v>
      </c>
      <c r="Q2498" s="1" t="s">
        <v>16</v>
      </c>
      <c r="R2498" s="1" t="str">
        <f>IF(N2498="","",VLOOKUP(N2498,Prior_levels,2,TRUE))</f>
        <v>L</v>
      </c>
    </row>
    <row r="2499" spans="1:18" x14ac:dyDescent="0.2">
      <c r="A2499" s="1" t="s">
        <v>266</v>
      </c>
      <c r="B2499" s="1" t="s">
        <v>10</v>
      </c>
      <c r="C2499" s="2">
        <v>41155</v>
      </c>
      <c r="D2499" s="1">
        <v>10</v>
      </c>
      <c r="E2499" s="1" t="s">
        <v>39</v>
      </c>
      <c r="H2499" s="1" t="s">
        <v>54</v>
      </c>
      <c r="I2499" s="1" t="s">
        <v>12</v>
      </c>
      <c r="J2499" s="1" t="s">
        <v>201</v>
      </c>
      <c r="K2499" s="1" t="s">
        <v>14</v>
      </c>
      <c r="L2499" s="1" t="s">
        <v>12</v>
      </c>
      <c r="M2499" s="1" t="s">
        <v>12</v>
      </c>
      <c r="N2499" s="1">
        <v>21.12</v>
      </c>
      <c r="O2499" s="1" t="s">
        <v>17</v>
      </c>
      <c r="P2499" s="1">
        <v>0.77</v>
      </c>
      <c r="Q2499" s="1" t="s">
        <v>16</v>
      </c>
      <c r="R2499" s="1" t="str">
        <f>IF(N2499="","",VLOOKUP(N2499,Prior_levels,2,TRUE))</f>
        <v>L</v>
      </c>
    </row>
    <row r="2500" spans="1:18" x14ac:dyDescent="0.2">
      <c r="A2500" s="1" t="s">
        <v>266</v>
      </c>
      <c r="B2500" s="1" t="s">
        <v>10</v>
      </c>
      <c r="C2500" s="2">
        <v>41155</v>
      </c>
      <c r="D2500" s="1">
        <v>10</v>
      </c>
      <c r="E2500" s="1" t="s">
        <v>39</v>
      </c>
      <c r="H2500" s="1" t="s">
        <v>54</v>
      </c>
      <c r="I2500" s="1" t="s">
        <v>12</v>
      </c>
      <c r="J2500" s="1" t="s">
        <v>201</v>
      </c>
      <c r="K2500" s="1" t="s">
        <v>14</v>
      </c>
      <c r="L2500" s="1" t="s">
        <v>12</v>
      </c>
      <c r="M2500" s="1" t="s">
        <v>12</v>
      </c>
      <c r="N2500" s="1">
        <v>21.12</v>
      </c>
      <c r="O2500" s="1" t="s">
        <v>18</v>
      </c>
      <c r="P2500" s="1">
        <v>8</v>
      </c>
      <c r="Q2500" s="1" t="s">
        <v>16</v>
      </c>
      <c r="R2500" s="1" t="str">
        <f>IF(N2500="","",VLOOKUP(N2500,Prior_levels,2,TRUE))</f>
        <v>L</v>
      </c>
    </row>
    <row r="2501" spans="1:18" x14ac:dyDescent="0.2">
      <c r="A2501" s="1" t="s">
        <v>266</v>
      </c>
      <c r="B2501" s="1" t="s">
        <v>10</v>
      </c>
      <c r="C2501" s="2">
        <v>41155</v>
      </c>
      <c r="D2501" s="1">
        <v>10</v>
      </c>
      <c r="E2501" s="1" t="s">
        <v>39</v>
      </c>
      <c r="H2501" s="1" t="s">
        <v>54</v>
      </c>
      <c r="I2501" s="1" t="s">
        <v>12</v>
      </c>
      <c r="J2501" s="1" t="s">
        <v>201</v>
      </c>
      <c r="K2501" s="1" t="s">
        <v>14</v>
      </c>
      <c r="L2501" s="1" t="s">
        <v>12</v>
      </c>
      <c r="M2501" s="1" t="s">
        <v>12</v>
      </c>
      <c r="N2501" s="1">
        <v>21.12</v>
      </c>
      <c r="O2501" s="1" t="s">
        <v>19</v>
      </c>
      <c r="P2501" s="1">
        <v>8</v>
      </c>
      <c r="Q2501" s="1" t="s">
        <v>16</v>
      </c>
      <c r="R2501" s="1" t="str">
        <f>IF(N2501="","",VLOOKUP(N2501,Prior_levels,2,TRUE))</f>
        <v>L</v>
      </c>
    </row>
    <row r="2502" spans="1:18" x14ac:dyDescent="0.2">
      <c r="A2502" s="1" t="s">
        <v>266</v>
      </c>
      <c r="B2502" s="1" t="s">
        <v>10</v>
      </c>
      <c r="C2502" s="2">
        <v>41155</v>
      </c>
      <c r="D2502" s="1">
        <v>10</v>
      </c>
      <c r="E2502" s="1" t="s">
        <v>39</v>
      </c>
      <c r="H2502" s="1" t="s">
        <v>54</v>
      </c>
      <c r="I2502" s="1" t="s">
        <v>12</v>
      </c>
      <c r="J2502" s="1" t="s">
        <v>201</v>
      </c>
      <c r="K2502" s="1" t="s">
        <v>14</v>
      </c>
      <c r="L2502" s="1" t="s">
        <v>12</v>
      </c>
      <c r="M2502" s="1" t="s">
        <v>12</v>
      </c>
      <c r="N2502" s="1">
        <v>21.12</v>
      </c>
      <c r="O2502" s="1" t="s">
        <v>20</v>
      </c>
      <c r="P2502" s="1">
        <v>9</v>
      </c>
      <c r="Q2502" s="1" t="s">
        <v>16</v>
      </c>
      <c r="R2502" s="1" t="str">
        <f>IF(N2502="","",VLOOKUP(N2502,Prior_levels,2,TRUE))</f>
        <v>L</v>
      </c>
    </row>
    <row r="2503" spans="1:18" x14ac:dyDescent="0.2">
      <c r="A2503" s="1" t="s">
        <v>266</v>
      </c>
      <c r="B2503" s="1" t="s">
        <v>10</v>
      </c>
      <c r="C2503" s="2">
        <v>41155</v>
      </c>
      <c r="D2503" s="1">
        <v>10</v>
      </c>
      <c r="E2503" s="1" t="s">
        <v>39</v>
      </c>
      <c r="H2503" s="1" t="s">
        <v>54</v>
      </c>
      <c r="I2503" s="1" t="s">
        <v>12</v>
      </c>
      <c r="J2503" s="1" t="s">
        <v>201</v>
      </c>
      <c r="K2503" s="1" t="s">
        <v>14</v>
      </c>
      <c r="L2503" s="1" t="s">
        <v>12</v>
      </c>
      <c r="M2503" s="1" t="s">
        <v>12</v>
      </c>
      <c r="N2503" s="1">
        <v>21.12</v>
      </c>
      <c r="O2503" s="1" t="s">
        <v>21</v>
      </c>
      <c r="P2503" s="1">
        <v>11</v>
      </c>
      <c r="Q2503" s="1" t="s">
        <v>16</v>
      </c>
      <c r="R2503" s="1" t="str">
        <f>IF(N2503="","",VLOOKUP(N2503,Prior_levels,2,TRUE))</f>
        <v>L</v>
      </c>
    </row>
    <row r="2504" spans="1:18" x14ac:dyDescent="0.2">
      <c r="A2504" s="1" t="s">
        <v>266</v>
      </c>
      <c r="B2504" s="1" t="s">
        <v>10</v>
      </c>
      <c r="C2504" s="2">
        <v>41155</v>
      </c>
      <c r="D2504" s="1">
        <v>10</v>
      </c>
      <c r="E2504" s="1" t="s">
        <v>39</v>
      </c>
      <c r="H2504" s="1" t="s">
        <v>54</v>
      </c>
      <c r="I2504" s="1" t="s">
        <v>12</v>
      </c>
      <c r="J2504" s="1" t="s">
        <v>201</v>
      </c>
      <c r="K2504" s="1" t="s">
        <v>14</v>
      </c>
      <c r="L2504" s="1" t="s">
        <v>12</v>
      </c>
      <c r="M2504" s="1" t="s">
        <v>12</v>
      </c>
      <c r="N2504" s="1">
        <v>21.12</v>
      </c>
      <c r="O2504" s="1" t="s">
        <v>22</v>
      </c>
      <c r="P2504" s="1">
        <v>0.34</v>
      </c>
      <c r="Q2504" s="1" t="s">
        <v>16</v>
      </c>
      <c r="R2504" s="1" t="str">
        <f>IF(N2504="","",VLOOKUP(N2504,Prior_levels,2,TRUE))</f>
        <v>L</v>
      </c>
    </row>
    <row r="2505" spans="1:18" x14ac:dyDescent="0.2">
      <c r="A2505" s="1" t="s">
        <v>266</v>
      </c>
      <c r="B2505" s="1" t="s">
        <v>10</v>
      </c>
      <c r="C2505" s="2">
        <v>41155</v>
      </c>
      <c r="D2505" s="1">
        <v>10</v>
      </c>
      <c r="E2505" s="1" t="s">
        <v>39</v>
      </c>
      <c r="H2505" s="1" t="s">
        <v>54</v>
      </c>
      <c r="I2505" s="1" t="s">
        <v>12</v>
      </c>
      <c r="J2505" s="1" t="s">
        <v>201</v>
      </c>
      <c r="K2505" s="1" t="s">
        <v>14</v>
      </c>
      <c r="L2505" s="1" t="s">
        <v>12</v>
      </c>
      <c r="M2505" s="1" t="s">
        <v>12</v>
      </c>
      <c r="N2505" s="1">
        <v>21.12</v>
      </c>
      <c r="O2505" s="1" t="s">
        <v>23</v>
      </c>
      <c r="P2505" s="1">
        <v>1.39</v>
      </c>
      <c r="Q2505" s="1" t="s">
        <v>16</v>
      </c>
      <c r="R2505" s="1" t="str">
        <f>IF(N2505="","",VLOOKUP(N2505,Prior_levels,2,TRUE))</f>
        <v>L</v>
      </c>
    </row>
    <row r="2506" spans="1:18" x14ac:dyDescent="0.2">
      <c r="A2506" s="1" t="s">
        <v>266</v>
      </c>
      <c r="B2506" s="1" t="s">
        <v>10</v>
      </c>
      <c r="C2506" s="2">
        <v>41155</v>
      </c>
      <c r="D2506" s="1">
        <v>10</v>
      </c>
      <c r="E2506" s="1" t="s">
        <v>39</v>
      </c>
      <c r="H2506" s="1" t="s">
        <v>54</v>
      </c>
      <c r="I2506" s="1" t="s">
        <v>12</v>
      </c>
      <c r="J2506" s="1" t="s">
        <v>201</v>
      </c>
      <c r="K2506" s="1" t="s">
        <v>14</v>
      </c>
      <c r="L2506" s="1" t="s">
        <v>12</v>
      </c>
      <c r="M2506" s="1" t="s">
        <v>12</v>
      </c>
      <c r="N2506" s="1">
        <v>21.12</v>
      </c>
      <c r="O2506" s="1" t="s">
        <v>24</v>
      </c>
      <c r="P2506" s="1">
        <v>4.49</v>
      </c>
      <c r="Q2506" s="1" t="s">
        <v>16</v>
      </c>
      <c r="R2506" s="1" t="str">
        <f>IF(N2506="","",VLOOKUP(N2506,Prior_levels,2,TRUE))</f>
        <v>L</v>
      </c>
    </row>
    <row r="2507" spans="1:18" x14ac:dyDescent="0.2">
      <c r="A2507" s="1" t="s">
        <v>266</v>
      </c>
      <c r="B2507" s="1" t="s">
        <v>10</v>
      </c>
      <c r="C2507" s="2">
        <v>41155</v>
      </c>
      <c r="D2507" s="1">
        <v>10</v>
      </c>
      <c r="E2507" s="1" t="s">
        <v>39</v>
      </c>
      <c r="H2507" s="1" t="s">
        <v>54</v>
      </c>
      <c r="I2507" s="1" t="s">
        <v>12</v>
      </c>
      <c r="J2507" s="1" t="s">
        <v>201</v>
      </c>
      <c r="K2507" s="1" t="s">
        <v>14</v>
      </c>
      <c r="L2507" s="1" t="s">
        <v>12</v>
      </c>
      <c r="M2507" s="1" t="s">
        <v>12</v>
      </c>
      <c r="N2507" s="1">
        <v>21.12</v>
      </c>
      <c r="O2507" s="1" t="s">
        <v>25</v>
      </c>
      <c r="P2507" s="1">
        <v>-0.2</v>
      </c>
      <c r="Q2507" s="1" t="s">
        <v>16</v>
      </c>
      <c r="R2507" s="1" t="str">
        <f>IF(N2507="","",VLOOKUP(N2507,Prior_levels,2,TRUE))</f>
        <v>L</v>
      </c>
    </row>
    <row r="2508" spans="1:18" x14ac:dyDescent="0.2">
      <c r="A2508" s="1" t="s">
        <v>266</v>
      </c>
      <c r="B2508" s="1" t="s">
        <v>10</v>
      </c>
      <c r="C2508" s="2">
        <v>41155</v>
      </c>
      <c r="D2508" s="1">
        <v>10</v>
      </c>
      <c r="E2508" s="1" t="s">
        <v>39</v>
      </c>
      <c r="H2508" s="1" t="s">
        <v>54</v>
      </c>
      <c r="I2508" s="1" t="s">
        <v>12</v>
      </c>
      <c r="J2508" s="1" t="s">
        <v>201</v>
      </c>
      <c r="K2508" s="1" t="s">
        <v>14</v>
      </c>
      <c r="L2508" s="1" t="s">
        <v>12</v>
      </c>
      <c r="M2508" s="1" t="s">
        <v>12</v>
      </c>
      <c r="N2508" s="1">
        <v>21.12</v>
      </c>
      <c r="O2508" s="1" t="s">
        <v>26</v>
      </c>
      <c r="P2508" s="1">
        <v>1</v>
      </c>
      <c r="Q2508" s="1" t="s">
        <v>16</v>
      </c>
      <c r="R2508" s="1" t="str">
        <f>IF(N2508="","",VLOOKUP(N2508,Prior_levels,2,TRUE))</f>
        <v>L</v>
      </c>
    </row>
    <row r="2509" spans="1:18" x14ac:dyDescent="0.2">
      <c r="A2509" s="1" t="s">
        <v>266</v>
      </c>
      <c r="B2509" s="1" t="s">
        <v>10</v>
      </c>
      <c r="C2509" s="2">
        <v>41155</v>
      </c>
      <c r="D2509" s="1">
        <v>10</v>
      </c>
      <c r="E2509" s="1" t="s">
        <v>39</v>
      </c>
      <c r="H2509" s="1" t="s">
        <v>54</v>
      </c>
      <c r="I2509" s="1" t="s">
        <v>12</v>
      </c>
      <c r="J2509" s="1" t="s">
        <v>201</v>
      </c>
      <c r="K2509" s="1" t="s">
        <v>14</v>
      </c>
      <c r="L2509" s="1" t="s">
        <v>12</v>
      </c>
      <c r="M2509" s="1" t="s">
        <v>12</v>
      </c>
      <c r="N2509" s="1">
        <v>21.12</v>
      </c>
      <c r="O2509" s="1" t="s">
        <v>27</v>
      </c>
      <c r="P2509" s="1" t="s">
        <v>28</v>
      </c>
      <c r="Q2509" s="1" t="s">
        <v>16</v>
      </c>
      <c r="R2509" s="1" t="str">
        <f>IF(N2509="","",VLOOKUP(N2509,Prior_levels,2,TRUE))</f>
        <v>L</v>
      </c>
    </row>
    <row r="2510" spans="1:18" x14ac:dyDescent="0.2">
      <c r="A2510" s="1" t="s">
        <v>266</v>
      </c>
      <c r="B2510" s="1" t="s">
        <v>10</v>
      </c>
      <c r="C2510" s="2">
        <v>41155</v>
      </c>
      <c r="D2510" s="1">
        <v>10</v>
      </c>
      <c r="E2510" s="1" t="s">
        <v>39</v>
      </c>
      <c r="H2510" s="1" t="s">
        <v>54</v>
      </c>
      <c r="I2510" s="1" t="s">
        <v>12</v>
      </c>
      <c r="J2510" s="1" t="s">
        <v>201</v>
      </c>
      <c r="K2510" s="1" t="s">
        <v>14</v>
      </c>
      <c r="L2510" s="1" t="s">
        <v>12</v>
      </c>
      <c r="M2510" s="1" t="s">
        <v>12</v>
      </c>
      <c r="N2510" s="1">
        <v>21.12</v>
      </c>
      <c r="O2510" s="1" t="s">
        <v>29</v>
      </c>
      <c r="P2510" s="1" t="s">
        <v>28</v>
      </c>
      <c r="Q2510" s="1" t="s">
        <v>16</v>
      </c>
      <c r="R2510" s="1" t="str">
        <f>IF(N2510="","",VLOOKUP(N2510,Prior_levels,2,TRUE))</f>
        <v>L</v>
      </c>
    </row>
    <row r="2511" spans="1:18" x14ac:dyDescent="0.2">
      <c r="A2511" s="1" t="s">
        <v>266</v>
      </c>
      <c r="B2511" s="1" t="s">
        <v>10</v>
      </c>
      <c r="C2511" s="2">
        <v>41155</v>
      </c>
      <c r="D2511" s="1">
        <v>10</v>
      </c>
      <c r="E2511" s="1" t="s">
        <v>39</v>
      </c>
      <c r="H2511" s="1" t="s">
        <v>54</v>
      </c>
      <c r="I2511" s="1" t="s">
        <v>12</v>
      </c>
      <c r="J2511" s="1" t="s">
        <v>201</v>
      </c>
      <c r="K2511" s="1" t="s">
        <v>14</v>
      </c>
      <c r="L2511" s="1" t="s">
        <v>12</v>
      </c>
      <c r="M2511" s="1" t="s">
        <v>12</v>
      </c>
      <c r="N2511" s="1">
        <v>21.12</v>
      </c>
      <c r="O2511" s="1" t="s">
        <v>30</v>
      </c>
      <c r="P2511" s="1" t="s">
        <v>28</v>
      </c>
      <c r="Q2511" s="1" t="s">
        <v>16</v>
      </c>
      <c r="R2511" s="1" t="str">
        <f>IF(N2511="","",VLOOKUP(N2511,Prior_levels,2,TRUE))</f>
        <v>L</v>
      </c>
    </row>
    <row r="2512" spans="1:18" x14ac:dyDescent="0.2">
      <c r="A2512" s="1" t="s">
        <v>266</v>
      </c>
      <c r="B2512" s="1" t="s">
        <v>10</v>
      </c>
      <c r="C2512" s="2">
        <v>41155</v>
      </c>
      <c r="D2512" s="1">
        <v>10</v>
      </c>
      <c r="E2512" s="1" t="s">
        <v>39</v>
      </c>
      <c r="H2512" s="1" t="s">
        <v>54</v>
      </c>
      <c r="I2512" s="1" t="s">
        <v>12</v>
      </c>
      <c r="J2512" s="1" t="s">
        <v>201</v>
      </c>
      <c r="K2512" s="1" t="s">
        <v>14</v>
      </c>
      <c r="L2512" s="1" t="s">
        <v>12</v>
      </c>
      <c r="M2512" s="1" t="s">
        <v>12</v>
      </c>
      <c r="N2512" s="1">
        <v>21.12</v>
      </c>
      <c r="O2512" s="1" t="s">
        <v>31</v>
      </c>
      <c r="P2512" s="1" t="s">
        <v>28</v>
      </c>
      <c r="Q2512" s="1" t="s">
        <v>16</v>
      </c>
      <c r="R2512" s="1" t="str">
        <f>IF(N2512="","",VLOOKUP(N2512,Prior_levels,2,TRUE))</f>
        <v>L</v>
      </c>
    </row>
    <row r="2513" spans="1:18" x14ac:dyDescent="0.2">
      <c r="A2513" s="1" t="s">
        <v>266</v>
      </c>
      <c r="B2513" s="1" t="s">
        <v>10</v>
      </c>
      <c r="C2513" s="2">
        <v>41155</v>
      </c>
      <c r="D2513" s="1">
        <v>10</v>
      </c>
      <c r="E2513" s="1" t="s">
        <v>39</v>
      </c>
      <c r="H2513" s="1" t="s">
        <v>54</v>
      </c>
      <c r="I2513" s="1" t="s">
        <v>12</v>
      </c>
      <c r="J2513" s="1" t="s">
        <v>201</v>
      </c>
      <c r="K2513" s="1" t="s">
        <v>14</v>
      </c>
      <c r="L2513" s="1" t="s">
        <v>12</v>
      </c>
      <c r="M2513" s="1" t="s">
        <v>12</v>
      </c>
      <c r="N2513" s="1">
        <v>21.12</v>
      </c>
      <c r="O2513" s="1" t="s">
        <v>32</v>
      </c>
      <c r="P2513" s="1" t="s">
        <v>28</v>
      </c>
      <c r="Q2513" s="1" t="s">
        <v>16</v>
      </c>
      <c r="R2513" s="1" t="str">
        <f>IF(N2513="","",VLOOKUP(N2513,Prior_levels,2,TRUE))</f>
        <v>L</v>
      </c>
    </row>
    <row r="2514" spans="1:18" x14ac:dyDescent="0.2">
      <c r="A2514" s="1" t="s">
        <v>267</v>
      </c>
      <c r="B2514" s="1" t="s">
        <v>10</v>
      </c>
      <c r="C2514" s="2">
        <v>41155</v>
      </c>
      <c r="D2514" s="1">
        <v>10</v>
      </c>
      <c r="E2514" s="1" t="s">
        <v>47</v>
      </c>
      <c r="F2514" s="1" t="s">
        <v>100</v>
      </c>
      <c r="H2514" s="1" t="s">
        <v>54</v>
      </c>
      <c r="I2514" s="1" t="s">
        <v>12</v>
      </c>
      <c r="J2514" s="1" t="s">
        <v>219</v>
      </c>
      <c r="K2514" s="1" t="s">
        <v>14</v>
      </c>
      <c r="L2514" s="1" t="s">
        <v>12</v>
      </c>
      <c r="M2514" s="1" t="s">
        <v>12</v>
      </c>
      <c r="N2514" s="1">
        <v>33.18</v>
      </c>
      <c r="O2514" s="1" t="s">
        <v>15</v>
      </c>
      <c r="P2514" s="1">
        <v>3.5</v>
      </c>
      <c r="Q2514" s="1" t="s">
        <v>16</v>
      </c>
      <c r="R2514" s="1" t="str">
        <f>IF(N2514="","",VLOOKUP(N2514,Prior_levels,2,TRUE))</f>
        <v>H</v>
      </c>
    </row>
    <row r="2515" spans="1:18" x14ac:dyDescent="0.2">
      <c r="A2515" s="1" t="s">
        <v>267</v>
      </c>
      <c r="B2515" s="1" t="s">
        <v>10</v>
      </c>
      <c r="C2515" s="2">
        <v>41155</v>
      </c>
      <c r="D2515" s="1">
        <v>10</v>
      </c>
      <c r="E2515" s="1" t="s">
        <v>47</v>
      </c>
      <c r="F2515" s="1" t="s">
        <v>100</v>
      </c>
      <c r="H2515" s="1" t="s">
        <v>54</v>
      </c>
      <c r="I2515" s="1" t="s">
        <v>12</v>
      </c>
      <c r="J2515" s="1" t="s">
        <v>219</v>
      </c>
      <c r="K2515" s="1" t="s">
        <v>14</v>
      </c>
      <c r="L2515" s="1" t="s">
        <v>12</v>
      </c>
      <c r="M2515" s="1" t="s">
        <v>12</v>
      </c>
      <c r="N2515" s="1">
        <v>33.18</v>
      </c>
      <c r="O2515" s="1" t="s">
        <v>17</v>
      </c>
      <c r="P2515" s="1">
        <v>-3.05</v>
      </c>
      <c r="Q2515" s="1" t="s">
        <v>16</v>
      </c>
      <c r="R2515" s="1" t="str">
        <f>IF(N2515="","",VLOOKUP(N2515,Prior_levels,2,TRUE))</f>
        <v>H</v>
      </c>
    </row>
    <row r="2516" spans="1:18" x14ac:dyDescent="0.2">
      <c r="A2516" s="1" t="s">
        <v>267</v>
      </c>
      <c r="B2516" s="1" t="s">
        <v>10</v>
      </c>
      <c r="C2516" s="2">
        <v>41155</v>
      </c>
      <c r="D2516" s="1">
        <v>10</v>
      </c>
      <c r="E2516" s="1" t="s">
        <v>47</v>
      </c>
      <c r="F2516" s="1" t="s">
        <v>100</v>
      </c>
      <c r="H2516" s="1" t="s">
        <v>54</v>
      </c>
      <c r="I2516" s="1" t="s">
        <v>12</v>
      </c>
      <c r="J2516" s="1" t="s">
        <v>219</v>
      </c>
      <c r="K2516" s="1" t="s">
        <v>14</v>
      </c>
      <c r="L2516" s="1" t="s">
        <v>12</v>
      </c>
      <c r="M2516" s="1" t="s">
        <v>12</v>
      </c>
      <c r="N2516" s="1">
        <v>33.18</v>
      </c>
      <c r="O2516" s="1" t="s">
        <v>18</v>
      </c>
      <c r="P2516" s="1">
        <v>6</v>
      </c>
      <c r="Q2516" s="1" t="s">
        <v>16</v>
      </c>
      <c r="R2516" s="1" t="str">
        <f>IF(N2516="","",VLOOKUP(N2516,Prior_levels,2,TRUE))</f>
        <v>H</v>
      </c>
    </row>
    <row r="2517" spans="1:18" x14ac:dyDescent="0.2">
      <c r="A2517" s="1" t="s">
        <v>267</v>
      </c>
      <c r="B2517" s="1" t="s">
        <v>10</v>
      </c>
      <c r="C2517" s="2">
        <v>41155</v>
      </c>
      <c r="D2517" s="1">
        <v>10</v>
      </c>
      <c r="E2517" s="1" t="s">
        <v>47</v>
      </c>
      <c r="F2517" s="1" t="s">
        <v>100</v>
      </c>
      <c r="H2517" s="1" t="s">
        <v>54</v>
      </c>
      <c r="I2517" s="1" t="s">
        <v>12</v>
      </c>
      <c r="J2517" s="1" t="s">
        <v>219</v>
      </c>
      <c r="K2517" s="1" t="s">
        <v>14</v>
      </c>
      <c r="L2517" s="1" t="s">
        <v>12</v>
      </c>
      <c r="M2517" s="1" t="s">
        <v>12</v>
      </c>
      <c r="N2517" s="1">
        <v>33.18</v>
      </c>
      <c r="O2517" s="1" t="s">
        <v>19</v>
      </c>
      <c r="P2517" s="1">
        <v>10</v>
      </c>
      <c r="Q2517" s="1" t="s">
        <v>16</v>
      </c>
      <c r="R2517" s="1" t="str">
        <f>IF(N2517="","",VLOOKUP(N2517,Prior_levels,2,TRUE))</f>
        <v>H</v>
      </c>
    </row>
    <row r="2518" spans="1:18" x14ac:dyDescent="0.2">
      <c r="A2518" s="1" t="s">
        <v>267</v>
      </c>
      <c r="B2518" s="1" t="s">
        <v>10</v>
      </c>
      <c r="C2518" s="2">
        <v>41155</v>
      </c>
      <c r="D2518" s="1">
        <v>10</v>
      </c>
      <c r="E2518" s="1" t="s">
        <v>47</v>
      </c>
      <c r="F2518" s="1" t="s">
        <v>100</v>
      </c>
      <c r="H2518" s="1" t="s">
        <v>54</v>
      </c>
      <c r="I2518" s="1" t="s">
        <v>12</v>
      </c>
      <c r="J2518" s="1" t="s">
        <v>219</v>
      </c>
      <c r="K2518" s="1" t="s">
        <v>14</v>
      </c>
      <c r="L2518" s="1" t="s">
        <v>12</v>
      </c>
      <c r="M2518" s="1" t="s">
        <v>12</v>
      </c>
      <c r="N2518" s="1">
        <v>33.18</v>
      </c>
      <c r="O2518" s="1" t="s">
        <v>20</v>
      </c>
      <c r="P2518" s="1">
        <v>10</v>
      </c>
      <c r="Q2518" s="1" t="s">
        <v>16</v>
      </c>
      <c r="R2518" s="1" t="str">
        <f>IF(N2518="","",VLOOKUP(N2518,Prior_levels,2,TRUE))</f>
        <v>H</v>
      </c>
    </row>
    <row r="2519" spans="1:18" x14ac:dyDescent="0.2">
      <c r="A2519" s="1" t="s">
        <v>267</v>
      </c>
      <c r="B2519" s="1" t="s">
        <v>10</v>
      </c>
      <c r="C2519" s="2">
        <v>41155</v>
      </c>
      <c r="D2519" s="1">
        <v>10</v>
      </c>
      <c r="E2519" s="1" t="s">
        <v>47</v>
      </c>
      <c r="F2519" s="1" t="s">
        <v>100</v>
      </c>
      <c r="H2519" s="1" t="s">
        <v>54</v>
      </c>
      <c r="I2519" s="1" t="s">
        <v>12</v>
      </c>
      <c r="J2519" s="1" t="s">
        <v>219</v>
      </c>
      <c r="K2519" s="1" t="s">
        <v>14</v>
      </c>
      <c r="L2519" s="1" t="s">
        <v>12</v>
      </c>
      <c r="M2519" s="1" t="s">
        <v>12</v>
      </c>
      <c r="N2519" s="1">
        <v>33.18</v>
      </c>
      <c r="O2519" s="1" t="s">
        <v>21</v>
      </c>
      <c r="P2519" s="1">
        <v>9</v>
      </c>
      <c r="Q2519" s="1" t="s">
        <v>16</v>
      </c>
      <c r="R2519" s="1" t="str">
        <f>IF(N2519="","",VLOOKUP(N2519,Prior_levels,2,TRUE))</f>
        <v>H</v>
      </c>
    </row>
    <row r="2520" spans="1:18" x14ac:dyDescent="0.2">
      <c r="A2520" s="1" t="s">
        <v>267</v>
      </c>
      <c r="B2520" s="1" t="s">
        <v>10</v>
      </c>
      <c r="C2520" s="2">
        <v>41155</v>
      </c>
      <c r="D2520" s="1">
        <v>10</v>
      </c>
      <c r="E2520" s="1" t="s">
        <v>47</v>
      </c>
      <c r="F2520" s="1" t="s">
        <v>100</v>
      </c>
      <c r="H2520" s="1" t="s">
        <v>54</v>
      </c>
      <c r="I2520" s="1" t="s">
        <v>12</v>
      </c>
      <c r="J2520" s="1" t="s">
        <v>219</v>
      </c>
      <c r="K2520" s="1" t="s">
        <v>14</v>
      </c>
      <c r="L2520" s="1" t="s">
        <v>12</v>
      </c>
      <c r="M2520" s="1" t="s">
        <v>12</v>
      </c>
      <c r="N2520" s="1">
        <v>33.18</v>
      </c>
      <c r="O2520" s="1" t="s">
        <v>22</v>
      </c>
      <c r="P2520" s="1">
        <v>-3.64</v>
      </c>
      <c r="Q2520" s="1" t="s">
        <v>16</v>
      </c>
      <c r="R2520" s="1" t="str">
        <f>IF(N2520="","",VLOOKUP(N2520,Prior_levels,2,TRUE))</f>
        <v>H</v>
      </c>
    </row>
    <row r="2521" spans="1:18" x14ac:dyDescent="0.2">
      <c r="A2521" s="1" t="s">
        <v>267</v>
      </c>
      <c r="B2521" s="1" t="s">
        <v>10</v>
      </c>
      <c r="C2521" s="2">
        <v>41155</v>
      </c>
      <c r="D2521" s="1">
        <v>10</v>
      </c>
      <c r="E2521" s="1" t="s">
        <v>47</v>
      </c>
      <c r="F2521" s="1" t="s">
        <v>100</v>
      </c>
      <c r="H2521" s="1" t="s">
        <v>54</v>
      </c>
      <c r="I2521" s="1" t="s">
        <v>12</v>
      </c>
      <c r="J2521" s="1" t="s">
        <v>219</v>
      </c>
      <c r="K2521" s="1" t="s">
        <v>14</v>
      </c>
      <c r="L2521" s="1" t="s">
        <v>12</v>
      </c>
      <c r="M2521" s="1" t="s">
        <v>12</v>
      </c>
      <c r="N2521" s="1">
        <v>33.18</v>
      </c>
      <c r="O2521" s="1" t="s">
        <v>23</v>
      </c>
      <c r="P2521" s="1">
        <v>-1.66</v>
      </c>
      <c r="Q2521" s="1" t="s">
        <v>16</v>
      </c>
      <c r="R2521" s="1" t="str">
        <f>IF(N2521="","",VLOOKUP(N2521,Prior_levels,2,TRUE))</f>
        <v>H</v>
      </c>
    </row>
    <row r="2522" spans="1:18" x14ac:dyDescent="0.2">
      <c r="A2522" s="1" t="s">
        <v>267</v>
      </c>
      <c r="B2522" s="1" t="s">
        <v>10</v>
      </c>
      <c r="C2522" s="2">
        <v>41155</v>
      </c>
      <c r="D2522" s="1">
        <v>10</v>
      </c>
      <c r="E2522" s="1" t="s">
        <v>47</v>
      </c>
      <c r="F2522" s="1" t="s">
        <v>100</v>
      </c>
      <c r="H2522" s="1" t="s">
        <v>54</v>
      </c>
      <c r="I2522" s="1" t="s">
        <v>12</v>
      </c>
      <c r="J2522" s="1" t="s">
        <v>219</v>
      </c>
      <c r="K2522" s="1" t="s">
        <v>14</v>
      </c>
      <c r="L2522" s="1" t="s">
        <v>12</v>
      </c>
      <c r="M2522" s="1" t="s">
        <v>12</v>
      </c>
      <c r="N2522" s="1">
        <v>33.18</v>
      </c>
      <c r="O2522" s="1" t="s">
        <v>25</v>
      </c>
      <c r="P2522" s="1">
        <v>-10.62</v>
      </c>
      <c r="Q2522" s="1" t="s">
        <v>16</v>
      </c>
      <c r="R2522" s="1" t="str">
        <f>IF(N2522="","",VLOOKUP(N2522,Prior_levels,2,TRUE))</f>
        <v>H</v>
      </c>
    </row>
    <row r="2523" spans="1:18" x14ac:dyDescent="0.2">
      <c r="A2523" s="1" t="s">
        <v>267</v>
      </c>
      <c r="B2523" s="1" t="s">
        <v>10</v>
      </c>
      <c r="C2523" s="2">
        <v>41155</v>
      </c>
      <c r="D2523" s="1">
        <v>10</v>
      </c>
      <c r="E2523" s="1" t="s">
        <v>47</v>
      </c>
      <c r="F2523" s="1" t="s">
        <v>100</v>
      </c>
      <c r="H2523" s="1" t="s">
        <v>54</v>
      </c>
      <c r="I2523" s="1" t="s">
        <v>12</v>
      </c>
      <c r="J2523" s="1" t="s">
        <v>219</v>
      </c>
      <c r="K2523" s="1" t="s">
        <v>14</v>
      </c>
      <c r="L2523" s="1" t="s">
        <v>12</v>
      </c>
      <c r="M2523" s="1" t="s">
        <v>12</v>
      </c>
      <c r="N2523" s="1">
        <v>33.18</v>
      </c>
      <c r="O2523" s="1" t="s">
        <v>26</v>
      </c>
      <c r="P2523" s="1">
        <v>4</v>
      </c>
      <c r="Q2523" s="1" t="s">
        <v>16</v>
      </c>
      <c r="R2523" s="1" t="str">
        <f>IF(N2523="","",VLOOKUP(N2523,Prior_levels,2,TRUE))</f>
        <v>H</v>
      </c>
    </row>
    <row r="2524" spans="1:18" x14ac:dyDescent="0.2">
      <c r="A2524" s="1" t="s">
        <v>267</v>
      </c>
      <c r="B2524" s="1" t="s">
        <v>10</v>
      </c>
      <c r="C2524" s="2">
        <v>41155</v>
      </c>
      <c r="D2524" s="1">
        <v>10</v>
      </c>
      <c r="E2524" s="1" t="s">
        <v>47</v>
      </c>
      <c r="F2524" s="1" t="s">
        <v>100</v>
      </c>
      <c r="H2524" s="1" t="s">
        <v>54</v>
      </c>
      <c r="I2524" s="1" t="s">
        <v>12</v>
      </c>
      <c r="J2524" s="1" t="s">
        <v>219</v>
      </c>
      <c r="K2524" s="1" t="s">
        <v>14</v>
      </c>
      <c r="L2524" s="1" t="s">
        <v>12</v>
      </c>
      <c r="M2524" s="1" t="s">
        <v>12</v>
      </c>
      <c r="N2524" s="1">
        <v>33.18</v>
      </c>
      <c r="O2524" s="1" t="s">
        <v>24</v>
      </c>
      <c r="P2524" s="1">
        <v>-9.27</v>
      </c>
      <c r="Q2524" s="1" t="s">
        <v>16</v>
      </c>
      <c r="R2524" s="1" t="str">
        <f>IF(N2524="","",VLOOKUP(N2524,Prior_levels,2,TRUE))</f>
        <v>H</v>
      </c>
    </row>
    <row r="2525" spans="1:18" x14ac:dyDescent="0.2">
      <c r="A2525" s="1" t="s">
        <v>267</v>
      </c>
      <c r="B2525" s="1" t="s">
        <v>10</v>
      </c>
      <c r="C2525" s="2">
        <v>41155</v>
      </c>
      <c r="D2525" s="1">
        <v>10</v>
      </c>
      <c r="E2525" s="1" t="s">
        <v>47</v>
      </c>
      <c r="F2525" s="1" t="s">
        <v>100</v>
      </c>
      <c r="H2525" s="1" t="s">
        <v>54</v>
      </c>
      <c r="I2525" s="1" t="s">
        <v>12</v>
      </c>
      <c r="J2525" s="1" t="s">
        <v>219</v>
      </c>
      <c r="K2525" s="1" t="s">
        <v>14</v>
      </c>
      <c r="L2525" s="1" t="s">
        <v>12</v>
      </c>
      <c r="M2525" s="1" t="s">
        <v>12</v>
      </c>
      <c r="N2525" s="1">
        <v>33.18</v>
      </c>
      <c r="O2525" s="1" t="s">
        <v>27</v>
      </c>
      <c r="P2525" s="1" t="s">
        <v>37</v>
      </c>
      <c r="Q2525" s="1" t="s">
        <v>16</v>
      </c>
      <c r="R2525" s="1" t="str">
        <f>IF(N2525="","",VLOOKUP(N2525,Prior_levels,2,TRUE))</f>
        <v>H</v>
      </c>
    </row>
    <row r="2526" spans="1:18" x14ac:dyDescent="0.2">
      <c r="A2526" s="1" t="s">
        <v>267</v>
      </c>
      <c r="B2526" s="1" t="s">
        <v>10</v>
      </c>
      <c r="C2526" s="2">
        <v>41155</v>
      </c>
      <c r="D2526" s="1">
        <v>10</v>
      </c>
      <c r="E2526" s="1" t="s">
        <v>47</v>
      </c>
      <c r="F2526" s="1" t="s">
        <v>100</v>
      </c>
      <c r="H2526" s="1" t="s">
        <v>54</v>
      </c>
      <c r="I2526" s="1" t="s">
        <v>12</v>
      </c>
      <c r="J2526" s="1" t="s">
        <v>219</v>
      </c>
      <c r="K2526" s="1" t="s">
        <v>14</v>
      </c>
      <c r="L2526" s="1" t="s">
        <v>12</v>
      </c>
      <c r="M2526" s="1" t="s">
        <v>12</v>
      </c>
      <c r="N2526" s="1">
        <v>33.18</v>
      </c>
      <c r="O2526" s="1" t="s">
        <v>29</v>
      </c>
      <c r="P2526" s="1" t="s">
        <v>28</v>
      </c>
      <c r="Q2526" s="1" t="s">
        <v>16</v>
      </c>
      <c r="R2526" s="1" t="str">
        <f>IF(N2526="","",VLOOKUP(N2526,Prior_levels,2,TRUE))</f>
        <v>H</v>
      </c>
    </row>
    <row r="2527" spans="1:18" x14ac:dyDescent="0.2">
      <c r="A2527" s="1" t="s">
        <v>267</v>
      </c>
      <c r="B2527" s="1" t="s">
        <v>10</v>
      </c>
      <c r="C2527" s="2">
        <v>41155</v>
      </c>
      <c r="D2527" s="1">
        <v>10</v>
      </c>
      <c r="E2527" s="1" t="s">
        <v>47</v>
      </c>
      <c r="F2527" s="1" t="s">
        <v>100</v>
      </c>
      <c r="H2527" s="1" t="s">
        <v>54</v>
      </c>
      <c r="I2527" s="1" t="s">
        <v>12</v>
      </c>
      <c r="J2527" s="1" t="s">
        <v>219</v>
      </c>
      <c r="K2527" s="1" t="s">
        <v>14</v>
      </c>
      <c r="L2527" s="1" t="s">
        <v>12</v>
      </c>
      <c r="M2527" s="1" t="s">
        <v>12</v>
      </c>
      <c r="N2527" s="1">
        <v>33.18</v>
      </c>
      <c r="O2527" s="1" t="s">
        <v>30</v>
      </c>
      <c r="P2527" s="1" t="s">
        <v>28</v>
      </c>
      <c r="Q2527" s="1" t="s">
        <v>16</v>
      </c>
      <c r="R2527" s="1" t="str">
        <f>IF(N2527="","",VLOOKUP(N2527,Prior_levels,2,TRUE))</f>
        <v>H</v>
      </c>
    </row>
    <row r="2528" spans="1:18" x14ac:dyDescent="0.2">
      <c r="A2528" s="1" t="s">
        <v>267</v>
      </c>
      <c r="B2528" s="1" t="s">
        <v>10</v>
      </c>
      <c r="C2528" s="2">
        <v>41155</v>
      </c>
      <c r="D2528" s="1">
        <v>10</v>
      </c>
      <c r="E2528" s="1" t="s">
        <v>47</v>
      </c>
      <c r="F2528" s="1" t="s">
        <v>100</v>
      </c>
      <c r="H2528" s="1" t="s">
        <v>54</v>
      </c>
      <c r="I2528" s="1" t="s">
        <v>12</v>
      </c>
      <c r="J2528" s="1" t="s">
        <v>219</v>
      </c>
      <c r="K2528" s="1" t="s">
        <v>14</v>
      </c>
      <c r="L2528" s="1" t="s">
        <v>12</v>
      </c>
      <c r="M2528" s="1" t="s">
        <v>12</v>
      </c>
      <c r="N2528" s="1">
        <v>33.18</v>
      </c>
      <c r="O2528" s="1" t="s">
        <v>31</v>
      </c>
      <c r="P2528" s="1" t="s">
        <v>28</v>
      </c>
      <c r="Q2528" s="1" t="s">
        <v>16</v>
      </c>
      <c r="R2528" s="1" t="str">
        <f>IF(N2528="","",VLOOKUP(N2528,Prior_levels,2,TRUE))</f>
        <v>H</v>
      </c>
    </row>
    <row r="2529" spans="1:18" x14ac:dyDescent="0.2">
      <c r="A2529" s="1" t="s">
        <v>267</v>
      </c>
      <c r="B2529" s="1" t="s">
        <v>10</v>
      </c>
      <c r="C2529" s="2">
        <v>41155</v>
      </c>
      <c r="D2529" s="1">
        <v>10</v>
      </c>
      <c r="E2529" s="1" t="s">
        <v>47</v>
      </c>
      <c r="F2529" s="1" t="s">
        <v>100</v>
      </c>
      <c r="H2529" s="1" t="s">
        <v>54</v>
      </c>
      <c r="I2529" s="1" t="s">
        <v>12</v>
      </c>
      <c r="J2529" s="1" t="s">
        <v>219</v>
      </c>
      <c r="K2529" s="1" t="s">
        <v>14</v>
      </c>
      <c r="L2529" s="1" t="s">
        <v>12</v>
      </c>
      <c r="M2529" s="1" t="s">
        <v>12</v>
      </c>
      <c r="N2529" s="1">
        <v>33.18</v>
      </c>
      <c r="O2529" s="1" t="s">
        <v>32</v>
      </c>
      <c r="P2529" s="1" t="s">
        <v>28</v>
      </c>
      <c r="Q2529" s="1" t="s">
        <v>16</v>
      </c>
      <c r="R2529" s="1" t="str">
        <f>IF(N2529="","",VLOOKUP(N2529,Prior_levels,2,TRUE))</f>
        <v>H</v>
      </c>
    </row>
    <row r="2530" spans="1:18" x14ac:dyDescent="0.2">
      <c r="A2530" s="1" t="s">
        <v>268</v>
      </c>
      <c r="B2530" s="1" t="s">
        <v>12</v>
      </c>
      <c r="C2530" s="2">
        <v>41155</v>
      </c>
      <c r="D2530" s="1">
        <v>10</v>
      </c>
      <c r="E2530" s="1" t="s">
        <v>34</v>
      </c>
      <c r="I2530" s="1" t="s">
        <v>12</v>
      </c>
      <c r="J2530" s="1" t="s">
        <v>40</v>
      </c>
      <c r="K2530" s="1" t="s">
        <v>14</v>
      </c>
      <c r="L2530" s="1" t="s">
        <v>12</v>
      </c>
      <c r="M2530" s="1" t="s">
        <v>12</v>
      </c>
      <c r="N2530" s="1">
        <v>27.12</v>
      </c>
      <c r="O2530" s="1" t="s">
        <v>15</v>
      </c>
      <c r="P2530" s="1">
        <v>4.6500000000000004</v>
      </c>
      <c r="Q2530" s="1" t="s">
        <v>16</v>
      </c>
      <c r="R2530" s="1" t="str">
        <f>IF(N2530="","",VLOOKUP(N2530,Prior_levels,2,TRUE))</f>
        <v>M</v>
      </c>
    </row>
    <row r="2531" spans="1:18" x14ac:dyDescent="0.2">
      <c r="A2531" s="1" t="s">
        <v>268</v>
      </c>
      <c r="B2531" s="1" t="s">
        <v>12</v>
      </c>
      <c r="C2531" s="2">
        <v>41155</v>
      </c>
      <c r="D2531" s="1">
        <v>10</v>
      </c>
      <c r="E2531" s="1" t="s">
        <v>34</v>
      </c>
      <c r="I2531" s="1" t="s">
        <v>12</v>
      </c>
      <c r="J2531" s="1" t="s">
        <v>40</v>
      </c>
      <c r="K2531" s="1" t="s">
        <v>14</v>
      </c>
      <c r="L2531" s="1" t="s">
        <v>12</v>
      </c>
      <c r="M2531" s="1" t="s">
        <v>12</v>
      </c>
      <c r="N2531" s="1">
        <v>27.12</v>
      </c>
      <c r="O2531" s="1" t="s">
        <v>17</v>
      </c>
      <c r="P2531" s="1">
        <v>0.1</v>
      </c>
      <c r="Q2531" s="1" t="s">
        <v>16</v>
      </c>
      <c r="R2531" s="1" t="str">
        <f>IF(N2531="","",VLOOKUP(N2531,Prior_levels,2,TRUE))</f>
        <v>M</v>
      </c>
    </row>
    <row r="2532" spans="1:18" x14ac:dyDescent="0.2">
      <c r="A2532" s="1" t="s">
        <v>268</v>
      </c>
      <c r="B2532" s="1" t="s">
        <v>12</v>
      </c>
      <c r="C2532" s="2">
        <v>41155</v>
      </c>
      <c r="D2532" s="1">
        <v>10</v>
      </c>
      <c r="E2532" s="1" t="s">
        <v>34</v>
      </c>
      <c r="I2532" s="1" t="s">
        <v>12</v>
      </c>
      <c r="J2532" s="1" t="s">
        <v>40</v>
      </c>
      <c r="K2532" s="1" t="s">
        <v>14</v>
      </c>
      <c r="L2532" s="1" t="s">
        <v>12</v>
      </c>
      <c r="M2532" s="1" t="s">
        <v>12</v>
      </c>
      <c r="N2532" s="1">
        <v>27.12</v>
      </c>
      <c r="O2532" s="1" t="s">
        <v>18</v>
      </c>
      <c r="P2532" s="1">
        <v>10</v>
      </c>
      <c r="Q2532" s="1" t="s">
        <v>16</v>
      </c>
      <c r="R2532" s="1" t="str">
        <f>IF(N2532="","",VLOOKUP(N2532,Prior_levels,2,TRUE))</f>
        <v>M</v>
      </c>
    </row>
    <row r="2533" spans="1:18" x14ac:dyDescent="0.2">
      <c r="A2533" s="1" t="s">
        <v>268</v>
      </c>
      <c r="B2533" s="1" t="s">
        <v>12</v>
      </c>
      <c r="C2533" s="2">
        <v>41155</v>
      </c>
      <c r="D2533" s="1">
        <v>10</v>
      </c>
      <c r="E2533" s="1" t="s">
        <v>34</v>
      </c>
      <c r="I2533" s="1" t="s">
        <v>12</v>
      </c>
      <c r="J2533" s="1" t="s">
        <v>40</v>
      </c>
      <c r="K2533" s="1" t="s">
        <v>14</v>
      </c>
      <c r="L2533" s="1" t="s">
        <v>12</v>
      </c>
      <c r="M2533" s="1" t="s">
        <v>12</v>
      </c>
      <c r="N2533" s="1">
        <v>27.12</v>
      </c>
      <c r="O2533" s="1" t="s">
        <v>19</v>
      </c>
      <c r="P2533" s="1">
        <v>10</v>
      </c>
      <c r="Q2533" s="1" t="s">
        <v>16</v>
      </c>
      <c r="R2533" s="1" t="str">
        <f>IF(N2533="","",VLOOKUP(N2533,Prior_levels,2,TRUE))</f>
        <v>M</v>
      </c>
    </row>
    <row r="2534" spans="1:18" x14ac:dyDescent="0.2">
      <c r="A2534" s="1" t="s">
        <v>268</v>
      </c>
      <c r="B2534" s="1" t="s">
        <v>12</v>
      </c>
      <c r="C2534" s="2">
        <v>41155</v>
      </c>
      <c r="D2534" s="1">
        <v>10</v>
      </c>
      <c r="E2534" s="1" t="s">
        <v>34</v>
      </c>
      <c r="I2534" s="1" t="s">
        <v>12</v>
      </c>
      <c r="J2534" s="1" t="s">
        <v>40</v>
      </c>
      <c r="K2534" s="1" t="s">
        <v>14</v>
      </c>
      <c r="L2534" s="1" t="s">
        <v>12</v>
      </c>
      <c r="M2534" s="1" t="s">
        <v>12</v>
      </c>
      <c r="N2534" s="1">
        <v>27.12</v>
      </c>
      <c r="O2534" s="1" t="s">
        <v>20</v>
      </c>
      <c r="P2534" s="1">
        <v>12</v>
      </c>
      <c r="Q2534" s="1" t="s">
        <v>16</v>
      </c>
      <c r="R2534" s="1" t="str">
        <f>IF(N2534="","",VLOOKUP(N2534,Prior_levels,2,TRUE))</f>
        <v>M</v>
      </c>
    </row>
    <row r="2535" spans="1:18" x14ac:dyDescent="0.2">
      <c r="A2535" s="1" t="s">
        <v>268</v>
      </c>
      <c r="B2535" s="1" t="s">
        <v>12</v>
      </c>
      <c r="C2535" s="2">
        <v>41155</v>
      </c>
      <c r="D2535" s="1">
        <v>10</v>
      </c>
      <c r="E2535" s="1" t="s">
        <v>34</v>
      </c>
      <c r="I2535" s="1" t="s">
        <v>12</v>
      </c>
      <c r="J2535" s="1" t="s">
        <v>40</v>
      </c>
      <c r="K2535" s="1" t="s">
        <v>14</v>
      </c>
      <c r="L2535" s="1" t="s">
        <v>12</v>
      </c>
      <c r="M2535" s="1" t="s">
        <v>12</v>
      </c>
      <c r="N2535" s="1">
        <v>27.12</v>
      </c>
      <c r="O2535" s="1" t="s">
        <v>21</v>
      </c>
      <c r="P2535" s="1">
        <v>14.5</v>
      </c>
      <c r="Q2535" s="1" t="s">
        <v>16</v>
      </c>
      <c r="R2535" s="1" t="str">
        <f>IF(N2535="","",VLOOKUP(N2535,Prior_levels,2,TRUE))</f>
        <v>M</v>
      </c>
    </row>
    <row r="2536" spans="1:18" x14ac:dyDescent="0.2">
      <c r="A2536" s="1" t="s">
        <v>268</v>
      </c>
      <c r="B2536" s="1" t="s">
        <v>12</v>
      </c>
      <c r="C2536" s="2">
        <v>41155</v>
      </c>
      <c r="D2536" s="1">
        <v>10</v>
      </c>
      <c r="E2536" s="1" t="s">
        <v>34</v>
      </c>
      <c r="I2536" s="1" t="s">
        <v>12</v>
      </c>
      <c r="J2536" s="1" t="s">
        <v>40</v>
      </c>
      <c r="K2536" s="1" t="s">
        <v>14</v>
      </c>
      <c r="L2536" s="1" t="s">
        <v>12</v>
      </c>
      <c r="M2536" s="1" t="s">
        <v>12</v>
      </c>
      <c r="N2536" s="1">
        <v>27.12</v>
      </c>
      <c r="O2536" s="1" t="s">
        <v>22</v>
      </c>
      <c r="P2536" s="1">
        <v>-0.05</v>
      </c>
      <c r="Q2536" s="1" t="s">
        <v>16</v>
      </c>
      <c r="R2536" s="1" t="str">
        <f>IF(N2536="","",VLOOKUP(N2536,Prior_levels,2,TRUE))</f>
        <v>M</v>
      </c>
    </row>
    <row r="2537" spans="1:18" x14ac:dyDescent="0.2">
      <c r="A2537" s="1" t="s">
        <v>268</v>
      </c>
      <c r="B2537" s="1" t="s">
        <v>12</v>
      </c>
      <c r="C2537" s="2">
        <v>41155</v>
      </c>
      <c r="D2537" s="1">
        <v>10</v>
      </c>
      <c r="E2537" s="1" t="s">
        <v>34</v>
      </c>
      <c r="I2537" s="1" t="s">
        <v>12</v>
      </c>
      <c r="J2537" s="1" t="s">
        <v>40</v>
      </c>
      <c r="K2537" s="1" t="s">
        <v>14</v>
      </c>
      <c r="L2537" s="1" t="s">
        <v>12</v>
      </c>
      <c r="M2537" s="1" t="s">
        <v>12</v>
      </c>
      <c r="N2537" s="1">
        <v>27.12</v>
      </c>
      <c r="O2537" s="1" t="s">
        <v>23</v>
      </c>
      <c r="P2537" s="1">
        <v>0.36</v>
      </c>
      <c r="Q2537" s="1" t="s">
        <v>16</v>
      </c>
      <c r="R2537" s="1" t="str">
        <f>IF(N2537="","",VLOOKUP(N2537,Prior_levels,2,TRUE))</f>
        <v>M</v>
      </c>
    </row>
    <row r="2538" spans="1:18" x14ac:dyDescent="0.2">
      <c r="A2538" s="1" t="s">
        <v>268</v>
      </c>
      <c r="B2538" s="1" t="s">
        <v>12</v>
      </c>
      <c r="C2538" s="2">
        <v>41155</v>
      </c>
      <c r="D2538" s="1">
        <v>10</v>
      </c>
      <c r="E2538" s="1" t="s">
        <v>34</v>
      </c>
      <c r="I2538" s="1" t="s">
        <v>12</v>
      </c>
      <c r="J2538" s="1" t="s">
        <v>40</v>
      </c>
      <c r="K2538" s="1" t="s">
        <v>14</v>
      </c>
      <c r="L2538" s="1" t="s">
        <v>12</v>
      </c>
      <c r="M2538" s="1" t="s">
        <v>12</v>
      </c>
      <c r="N2538" s="1">
        <v>27.12</v>
      </c>
      <c r="O2538" s="1" t="s">
        <v>24</v>
      </c>
      <c r="P2538" s="1">
        <v>0.75</v>
      </c>
      <c r="Q2538" s="1" t="s">
        <v>16</v>
      </c>
      <c r="R2538" s="1" t="str">
        <f>IF(N2538="","",VLOOKUP(N2538,Prior_levels,2,TRUE))</f>
        <v>M</v>
      </c>
    </row>
    <row r="2539" spans="1:18" x14ac:dyDescent="0.2">
      <c r="A2539" s="1" t="s">
        <v>268</v>
      </c>
      <c r="B2539" s="1" t="s">
        <v>12</v>
      </c>
      <c r="C2539" s="2">
        <v>41155</v>
      </c>
      <c r="D2539" s="1">
        <v>10</v>
      </c>
      <c r="E2539" s="1" t="s">
        <v>34</v>
      </c>
      <c r="I2539" s="1" t="s">
        <v>12</v>
      </c>
      <c r="J2539" s="1" t="s">
        <v>40</v>
      </c>
      <c r="K2539" s="1" t="s">
        <v>14</v>
      </c>
      <c r="L2539" s="1" t="s">
        <v>12</v>
      </c>
      <c r="M2539" s="1" t="s">
        <v>12</v>
      </c>
      <c r="N2539" s="1">
        <v>27.12</v>
      </c>
      <c r="O2539" s="1" t="s">
        <v>25</v>
      </c>
      <c r="P2539" s="1">
        <v>-0.39</v>
      </c>
      <c r="Q2539" s="1" t="s">
        <v>16</v>
      </c>
      <c r="R2539" s="1" t="str">
        <f>IF(N2539="","",VLOOKUP(N2539,Prior_levels,2,TRUE))</f>
        <v>M</v>
      </c>
    </row>
    <row r="2540" spans="1:18" x14ac:dyDescent="0.2">
      <c r="A2540" s="1" t="s">
        <v>268</v>
      </c>
      <c r="B2540" s="1" t="s">
        <v>12</v>
      </c>
      <c r="C2540" s="2">
        <v>41155</v>
      </c>
      <c r="D2540" s="1">
        <v>10</v>
      </c>
      <c r="E2540" s="1" t="s">
        <v>34</v>
      </c>
      <c r="I2540" s="1" t="s">
        <v>12</v>
      </c>
      <c r="J2540" s="1" t="s">
        <v>40</v>
      </c>
      <c r="K2540" s="1" t="s">
        <v>14</v>
      </c>
      <c r="L2540" s="1" t="s">
        <v>12</v>
      </c>
      <c r="M2540" s="1" t="s">
        <v>12</v>
      </c>
      <c r="N2540" s="1">
        <v>27.12</v>
      </c>
      <c r="O2540" s="1" t="s">
        <v>26</v>
      </c>
      <c r="P2540" s="1">
        <v>10</v>
      </c>
      <c r="Q2540" s="1" t="s">
        <v>16</v>
      </c>
      <c r="R2540" s="1" t="str">
        <f>IF(N2540="","",VLOOKUP(N2540,Prior_levels,2,TRUE))</f>
        <v>M</v>
      </c>
    </row>
    <row r="2541" spans="1:18" x14ac:dyDescent="0.2">
      <c r="A2541" s="1" t="s">
        <v>268</v>
      </c>
      <c r="B2541" s="1" t="s">
        <v>12</v>
      </c>
      <c r="C2541" s="2">
        <v>41155</v>
      </c>
      <c r="D2541" s="1">
        <v>10</v>
      </c>
      <c r="E2541" s="1" t="s">
        <v>34</v>
      </c>
      <c r="I2541" s="1" t="s">
        <v>12</v>
      </c>
      <c r="J2541" s="1" t="s">
        <v>40</v>
      </c>
      <c r="K2541" s="1" t="s">
        <v>14</v>
      </c>
      <c r="L2541" s="1" t="s">
        <v>12</v>
      </c>
      <c r="M2541" s="1" t="s">
        <v>12</v>
      </c>
      <c r="N2541" s="1">
        <v>27.12</v>
      </c>
      <c r="O2541" s="1" t="s">
        <v>27</v>
      </c>
      <c r="P2541" s="1" t="s">
        <v>37</v>
      </c>
      <c r="Q2541" s="1" t="s">
        <v>16</v>
      </c>
      <c r="R2541" s="1" t="str">
        <f>IF(N2541="","",VLOOKUP(N2541,Prior_levels,2,TRUE))</f>
        <v>M</v>
      </c>
    </row>
    <row r="2542" spans="1:18" x14ac:dyDescent="0.2">
      <c r="A2542" s="1" t="s">
        <v>268</v>
      </c>
      <c r="B2542" s="1" t="s">
        <v>12</v>
      </c>
      <c r="C2542" s="2">
        <v>41155</v>
      </c>
      <c r="D2542" s="1">
        <v>10</v>
      </c>
      <c r="E2542" s="1" t="s">
        <v>34</v>
      </c>
      <c r="I2542" s="1" t="s">
        <v>12</v>
      </c>
      <c r="J2542" s="1" t="s">
        <v>40</v>
      </c>
      <c r="K2542" s="1" t="s">
        <v>14</v>
      </c>
      <c r="L2542" s="1" t="s">
        <v>12</v>
      </c>
      <c r="M2542" s="1" t="s">
        <v>12</v>
      </c>
      <c r="N2542" s="1">
        <v>27.12</v>
      </c>
      <c r="O2542" s="1" t="s">
        <v>29</v>
      </c>
      <c r="P2542" s="1" t="s">
        <v>37</v>
      </c>
      <c r="Q2542" s="1" t="s">
        <v>16</v>
      </c>
      <c r="R2542" s="1" t="str">
        <f>IF(N2542="","",VLOOKUP(N2542,Prior_levels,2,TRUE))</f>
        <v>M</v>
      </c>
    </row>
    <row r="2543" spans="1:18" x14ac:dyDescent="0.2">
      <c r="A2543" s="1" t="s">
        <v>268</v>
      </c>
      <c r="B2543" s="1" t="s">
        <v>12</v>
      </c>
      <c r="C2543" s="2">
        <v>41155</v>
      </c>
      <c r="D2543" s="1">
        <v>10</v>
      </c>
      <c r="E2543" s="1" t="s">
        <v>34</v>
      </c>
      <c r="I2543" s="1" t="s">
        <v>12</v>
      </c>
      <c r="J2543" s="1" t="s">
        <v>40</v>
      </c>
      <c r="K2543" s="1" t="s">
        <v>14</v>
      </c>
      <c r="L2543" s="1" t="s">
        <v>12</v>
      </c>
      <c r="M2543" s="1" t="s">
        <v>12</v>
      </c>
      <c r="N2543" s="1">
        <v>27.12</v>
      </c>
      <c r="O2543" s="1" t="s">
        <v>30</v>
      </c>
      <c r="P2543" s="1" t="s">
        <v>37</v>
      </c>
      <c r="Q2543" s="1" t="s">
        <v>16</v>
      </c>
      <c r="R2543" s="1" t="str">
        <f>IF(N2543="","",VLOOKUP(N2543,Prior_levels,2,TRUE))</f>
        <v>M</v>
      </c>
    </row>
    <row r="2544" spans="1:18" x14ac:dyDescent="0.2">
      <c r="A2544" s="1" t="s">
        <v>268</v>
      </c>
      <c r="B2544" s="1" t="s">
        <v>12</v>
      </c>
      <c r="C2544" s="2">
        <v>41155</v>
      </c>
      <c r="D2544" s="1">
        <v>10</v>
      </c>
      <c r="E2544" s="1" t="s">
        <v>34</v>
      </c>
      <c r="I2544" s="1" t="s">
        <v>12</v>
      </c>
      <c r="J2544" s="1" t="s">
        <v>40</v>
      </c>
      <c r="K2544" s="1" t="s">
        <v>14</v>
      </c>
      <c r="L2544" s="1" t="s">
        <v>12</v>
      </c>
      <c r="M2544" s="1" t="s">
        <v>12</v>
      </c>
      <c r="N2544" s="1">
        <v>27.12</v>
      </c>
      <c r="O2544" s="1" t="s">
        <v>31</v>
      </c>
      <c r="P2544" s="1" t="s">
        <v>37</v>
      </c>
      <c r="Q2544" s="1" t="s">
        <v>16</v>
      </c>
      <c r="R2544" s="1" t="str">
        <f>IF(N2544="","",VLOOKUP(N2544,Prior_levels,2,TRUE))</f>
        <v>M</v>
      </c>
    </row>
    <row r="2545" spans="1:18" x14ac:dyDescent="0.2">
      <c r="A2545" s="1" t="s">
        <v>268</v>
      </c>
      <c r="B2545" s="1" t="s">
        <v>12</v>
      </c>
      <c r="C2545" s="2">
        <v>41155</v>
      </c>
      <c r="D2545" s="1">
        <v>10</v>
      </c>
      <c r="E2545" s="1" t="s">
        <v>34</v>
      </c>
      <c r="I2545" s="1" t="s">
        <v>12</v>
      </c>
      <c r="J2545" s="1" t="s">
        <v>40</v>
      </c>
      <c r="K2545" s="1" t="s">
        <v>14</v>
      </c>
      <c r="L2545" s="1" t="s">
        <v>12</v>
      </c>
      <c r="M2545" s="1" t="s">
        <v>12</v>
      </c>
      <c r="N2545" s="1">
        <v>27.12</v>
      </c>
      <c r="O2545" s="1" t="s">
        <v>32</v>
      </c>
      <c r="P2545" s="1" t="s">
        <v>37</v>
      </c>
      <c r="Q2545" s="1" t="s">
        <v>16</v>
      </c>
      <c r="R2545" s="1" t="str">
        <f>IF(N2545="","",VLOOKUP(N2545,Prior_levels,2,TRUE))</f>
        <v>M</v>
      </c>
    </row>
    <row r="2546" spans="1:18" x14ac:dyDescent="0.2">
      <c r="A2546" s="1" t="s">
        <v>269</v>
      </c>
      <c r="B2546" s="1" t="s">
        <v>12</v>
      </c>
      <c r="C2546" s="2">
        <v>41155</v>
      </c>
      <c r="D2546" s="1">
        <v>10</v>
      </c>
      <c r="E2546" s="1" t="s">
        <v>39</v>
      </c>
      <c r="H2546" s="1" t="s">
        <v>54</v>
      </c>
      <c r="I2546" s="1" t="s">
        <v>12</v>
      </c>
      <c r="J2546" s="1" t="s">
        <v>40</v>
      </c>
      <c r="K2546" s="1" t="s">
        <v>14</v>
      </c>
      <c r="L2546" s="1" t="s">
        <v>12</v>
      </c>
      <c r="M2546" s="1" t="s">
        <v>12</v>
      </c>
      <c r="N2546" s="1">
        <v>21.12</v>
      </c>
      <c r="O2546" s="1" t="s">
        <v>15</v>
      </c>
      <c r="P2546" s="1">
        <v>3.1</v>
      </c>
      <c r="Q2546" s="1" t="s">
        <v>16</v>
      </c>
      <c r="R2546" s="1" t="str">
        <f>IF(N2546="","",VLOOKUP(N2546,Prior_levels,2,TRUE))</f>
        <v>L</v>
      </c>
    </row>
    <row r="2547" spans="1:18" x14ac:dyDescent="0.2">
      <c r="A2547" s="1" t="s">
        <v>269</v>
      </c>
      <c r="B2547" s="1" t="s">
        <v>12</v>
      </c>
      <c r="C2547" s="2">
        <v>41155</v>
      </c>
      <c r="D2547" s="1">
        <v>10</v>
      </c>
      <c r="E2547" s="1" t="s">
        <v>39</v>
      </c>
      <c r="H2547" s="1" t="s">
        <v>54</v>
      </c>
      <c r="I2547" s="1" t="s">
        <v>12</v>
      </c>
      <c r="J2547" s="1" t="s">
        <v>40</v>
      </c>
      <c r="K2547" s="1" t="s">
        <v>14</v>
      </c>
      <c r="L2547" s="1" t="s">
        <v>12</v>
      </c>
      <c r="M2547" s="1" t="s">
        <v>12</v>
      </c>
      <c r="N2547" s="1">
        <v>21.12</v>
      </c>
      <c r="O2547" s="1" t="s">
        <v>17</v>
      </c>
      <c r="P2547" s="1">
        <v>0.27</v>
      </c>
      <c r="Q2547" s="1" t="s">
        <v>16</v>
      </c>
      <c r="R2547" s="1" t="str">
        <f>IF(N2547="","",VLOOKUP(N2547,Prior_levels,2,TRUE))</f>
        <v>L</v>
      </c>
    </row>
    <row r="2548" spans="1:18" x14ac:dyDescent="0.2">
      <c r="A2548" s="1" t="s">
        <v>269</v>
      </c>
      <c r="B2548" s="1" t="s">
        <v>12</v>
      </c>
      <c r="C2548" s="2">
        <v>41155</v>
      </c>
      <c r="D2548" s="1">
        <v>10</v>
      </c>
      <c r="E2548" s="1" t="s">
        <v>39</v>
      </c>
      <c r="H2548" s="1" t="s">
        <v>54</v>
      </c>
      <c r="I2548" s="1" t="s">
        <v>12</v>
      </c>
      <c r="J2548" s="1" t="s">
        <v>40</v>
      </c>
      <c r="K2548" s="1" t="s">
        <v>14</v>
      </c>
      <c r="L2548" s="1" t="s">
        <v>12</v>
      </c>
      <c r="M2548" s="1" t="s">
        <v>12</v>
      </c>
      <c r="N2548" s="1">
        <v>21.12</v>
      </c>
      <c r="O2548" s="1" t="s">
        <v>18</v>
      </c>
      <c r="P2548" s="1">
        <v>8</v>
      </c>
      <c r="Q2548" s="1" t="s">
        <v>16</v>
      </c>
      <c r="R2548" s="1" t="str">
        <f>IF(N2548="","",VLOOKUP(N2548,Prior_levels,2,TRUE))</f>
        <v>L</v>
      </c>
    </row>
    <row r="2549" spans="1:18" x14ac:dyDescent="0.2">
      <c r="A2549" s="1" t="s">
        <v>269</v>
      </c>
      <c r="B2549" s="1" t="s">
        <v>12</v>
      </c>
      <c r="C2549" s="2">
        <v>41155</v>
      </c>
      <c r="D2549" s="1">
        <v>10</v>
      </c>
      <c r="E2549" s="1" t="s">
        <v>39</v>
      </c>
      <c r="H2549" s="1" t="s">
        <v>54</v>
      </c>
      <c r="I2549" s="1" t="s">
        <v>12</v>
      </c>
      <c r="J2549" s="1" t="s">
        <v>40</v>
      </c>
      <c r="K2549" s="1" t="s">
        <v>14</v>
      </c>
      <c r="L2549" s="1" t="s">
        <v>12</v>
      </c>
      <c r="M2549" s="1" t="s">
        <v>12</v>
      </c>
      <c r="N2549" s="1">
        <v>21.12</v>
      </c>
      <c r="O2549" s="1" t="s">
        <v>19</v>
      </c>
      <c r="P2549" s="1">
        <v>6</v>
      </c>
      <c r="Q2549" s="1" t="s">
        <v>16</v>
      </c>
      <c r="R2549" s="1" t="str">
        <f>IF(N2549="","",VLOOKUP(N2549,Prior_levels,2,TRUE))</f>
        <v>L</v>
      </c>
    </row>
    <row r="2550" spans="1:18" x14ac:dyDescent="0.2">
      <c r="A2550" s="1" t="s">
        <v>269</v>
      </c>
      <c r="B2550" s="1" t="s">
        <v>12</v>
      </c>
      <c r="C2550" s="2">
        <v>41155</v>
      </c>
      <c r="D2550" s="1">
        <v>10</v>
      </c>
      <c r="E2550" s="1" t="s">
        <v>39</v>
      </c>
      <c r="H2550" s="1" t="s">
        <v>54</v>
      </c>
      <c r="I2550" s="1" t="s">
        <v>12</v>
      </c>
      <c r="J2550" s="1" t="s">
        <v>40</v>
      </c>
      <c r="K2550" s="1" t="s">
        <v>14</v>
      </c>
      <c r="L2550" s="1" t="s">
        <v>12</v>
      </c>
      <c r="M2550" s="1" t="s">
        <v>12</v>
      </c>
      <c r="N2550" s="1">
        <v>21.12</v>
      </c>
      <c r="O2550" s="1" t="s">
        <v>20</v>
      </c>
      <c r="P2550" s="1">
        <v>8</v>
      </c>
      <c r="Q2550" s="1" t="s">
        <v>16</v>
      </c>
      <c r="R2550" s="1" t="str">
        <f>IF(N2550="","",VLOOKUP(N2550,Prior_levels,2,TRUE))</f>
        <v>L</v>
      </c>
    </row>
    <row r="2551" spans="1:18" x14ac:dyDescent="0.2">
      <c r="A2551" s="1" t="s">
        <v>269</v>
      </c>
      <c r="B2551" s="1" t="s">
        <v>12</v>
      </c>
      <c r="C2551" s="2">
        <v>41155</v>
      </c>
      <c r="D2551" s="1">
        <v>10</v>
      </c>
      <c r="E2551" s="1" t="s">
        <v>39</v>
      </c>
      <c r="H2551" s="1" t="s">
        <v>54</v>
      </c>
      <c r="I2551" s="1" t="s">
        <v>12</v>
      </c>
      <c r="J2551" s="1" t="s">
        <v>40</v>
      </c>
      <c r="K2551" s="1" t="s">
        <v>14</v>
      </c>
      <c r="L2551" s="1" t="s">
        <v>12</v>
      </c>
      <c r="M2551" s="1" t="s">
        <v>12</v>
      </c>
      <c r="N2551" s="1">
        <v>21.12</v>
      </c>
      <c r="O2551" s="1" t="s">
        <v>21</v>
      </c>
      <c r="P2551" s="1">
        <v>9</v>
      </c>
      <c r="Q2551" s="1" t="s">
        <v>16</v>
      </c>
      <c r="R2551" s="1" t="str">
        <f>IF(N2551="","",VLOOKUP(N2551,Prior_levels,2,TRUE))</f>
        <v>L</v>
      </c>
    </row>
    <row r="2552" spans="1:18" x14ac:dyDescent="0.2">
      <c r="A2552" s="1" t="s">
        <v>269</v>
      </c>
      <c r="B2552" s="1" t="s">
        <v>12</v>
      </c>
      <c r="C2552" s="2">
        <v>41155</v>
      </c>
      <c r="D2552" s="1">
        <v>10</v>
      </c>
      <c r="E2552" s="1" t="s">
        <v>39</v>
      </c>
      <c r="H2552" s="1" t="s">
        <v>54</v>
      </c>
      <c r="I2552" s="1" t="s">
        <v>12</v>
      </c>
      <c r="J2552" s="1" t="s">
        <v>40</v>
      </c>
      <c r="K2552" s="1" t="s">
        <v>14</v>
      </c>
      <c r="L2552" s="1" t="s">
        <v>12</v>
      </c>
      <c r="M2552" s="1" t="s">
        <v>12</v>
      </c>
      <c r="N2552" s="1">
        <v>21.12</v>
      </c>
      <c r="O2552" s="1" t="s">
        <v>22</v>
      </c>
      <c r="P2552" s="1">
        <v>0.34</v>
      </c>
      <c r="Q2552" s="1" t="s">
        <v>16</v>
      </c>
      <c r="R2552" s="1" t="str">
        <f>IF(N2552="","",VLOOKUP(N2552,Prior_levels,2,TRUE))</f>
        <v>L</v>
      </c>
    </row>
    <row r="2553" spans="1:18" x14ac:dyDescent="0.2">
      <c r="A2553" s="1" t="s">
        <v>269</v>
      </c>
      <c r="B2553" s="1" t="s">
        <v>12</v>
      </c>
      <c r="C2553" s="2">
        <v>41155</v>
      </c>
      <c r="D2553" s="1">
        <v>10</v>
      </c>
      <c r="E2553" s="1" t="s">
        <v>39</v>
      </c>
      <c r="H2553" s="1" t="s">
        <v>54</v>
      </c>
      <c r="I2553" s="1" t="s">
        <v>12</v>
      </c>
      <c r="J2553" s="1" t="s">
        <v>40</v>
      </c>
      <c r="K2553" s="1" t="s">
        <v>14</v>
      </c>
      <c r="L2553" s="1" t="s">
        <v>12</v>
      </c>
      <c r="M2553" s="1" t="s">
        <v>12</v>
      </c>
      <c r="N2553" s="1">
        <v>21.12</v>
      </c>
      <c r="O2553" s="1" t="s">
        <v>23</v>
      </c>
      <c r="P2553" s="1">
        <v>0.39</v>
      </c>
      <c r="Q2553" s="1" t="s">
        <v>16</v>
      </c>
      <c r="R2553" s="1" t="str">
        <f>IF(N2553="","",VLOOKUP(N2553,Prior_levels,2,TRUE))</f>
        <v>L</v>
      </c>
    </row>
    <row r="2554" spans="1:18" x14ac:dyDescent="0.2">
      <c r="A2554" s="1" t="s">
        <v>269</v>
      </c>
      <c r="B2554" s="1" t="s">
        <v>12</v>
      </c>
      <c r="C2554" s="2">
        <v>41155</v>
      </c>
      <c r="D2554" s="1">
        <v>10</v>
      </c>
      <c r="E2554" s="1" t="s">
        <v>39</v>
      </c>
      <c r="H2554" s="1" t="s">
        <v>54</v>
      </c>
      <c r="I2554" s="1" t="s">
        <v>12</v>
      </c>
      <c r="J2554" s="1" t="s">
        <v>40</v>
      </c>
      <c r="K2554" s="1" t="s">
        <v>14</v>
      </c>
      <c r="L2554" s="1" t="s">
        <v>12</v>
      </c>
      <c r="M2554" s="1" t="s">
        <v>12</v>
      </c>
      <c r="N2554" s="1">
        <v>21.12</v>
      </c>
      <c r="O2554" s="1" t="s">
        <v>24</v>
      </c>
      <c r="P2554" s="1">
        <v>3.49</v>
      </c>
      <c r="Q2554" s="1" t="s">
        <v>16</v>
      </c>
      <c r="R2554" s="1" t="str">
        <f>IF(N2554="","",VLOOKUP(N2554,Prior_levels,2,TRUE))</f>
        <v>L</v>
      </c>
    </row>
    <row r="2555" spans="1:18" x14ac:dyDescent="0.2">
      <c r="A2555" s="1" t="s">
        <v>269</v>
      </c>
      <c r="B2555" s="1" t="s">
        <v>12</v>
      </c>
      <c r="C2555" s="2">
        <v>41155</v>
      </c>
      <c r="D2555" s="1">
        <v>10</v>
      </c>
      <c r="E2555" s="1" t="s">
        <v>39</v>
      </c>
      <c r="H2555" s="1" t="s">
        <v>54</v>
      </c>
      <c r="I2555" s="1" t="s">
        <v>12</v>
      </c>
      <c r="J2555" s="1" t="s">
        <v>40</v>
      </c>
      <c r="K2555" s="1" t="s">
        <v>14</v>
      </c>
      <c r="L2555" s="1" t="s">
        <v>12</v>
      </c>
      <c r="M2555" s="1" t="s">
        <v>12</v>
      </c>
      <c r="N2555" s="1">
        <v>21.12</v>
      </c>
      <c r="O2555" s="1" t="s">
        <v>25</v>
      </c>
      <c r="P2555" s="1">
        <v>-2.2000000000000002</v>
      </c>
      <c r="Q2555" s="1" t="s">
        <v>16</v>
      </c>
      <c r="R2555" s="1" t="str">
        <f>IF(N2555="","",VLOOKUP(N2555,Prior_levels,2,TRUE))</f>
        <v>L</v>
      </c>
    </row>
    <row r="2556" spans="1:18" x14ac:dyDescent="0.2">
      <c r="A2556" s="1" t="s">
        <v>269</v>
      </c>
      <c r="B2556" s="1" t="s">
        <v>12</v>
      </c>
      <c r="C2556" s="2">
        <v>41155</v>
      </c>
      <c r="D2556" s="1">
        <v>10</v>
      </c>
      <c r="E2556" s="1" t="s">
        <v>39</v>
      </c>
      <c r="H2556" s="1" t="s">
        <v>54</v>
      </c>
      <c r="I2556" s="1" t="s">
        <v>12</v>
      </c>
      <c r="J2556" s="1" t="s">
        <v>40</v>
      </c>
      <c r="K2556" s="1" t="s">
        <v>14</v>
      </c>
      <c r="L2556" s="1" t="s">
        <v>12</v>
      </c>
      <c r="M2556" s="1" t="s">
        <v>12</v>
      </c>
      <c r="N2556" s="1">
        <v>21.12</v>
      </c>
      <c r="O2556" s="1" t="s">
        <v>26</v>
      </c>
      <c r="P2556" s="1">
        <v>0</v>
      </c>
      <c r="Q2556" s="1" t="s">
        <v>16</v>
      </c>
      <c r="R2556" s="1" t="str">
        <f>IF(N2556="","",VLOOKUP(N2556,Prior_levels,2,TRUE))</f>
        <v>L</v>
      </c>
    </row>
    <row r="2557" spans="1:18" x14ac:dyDescent="0.2">
      <c r="A2557" s="1" t="s">
        <v>269</v>
      </c>
      <c r="B2557" s="1" t="s">
        <v>12</v>
      </c>
      <c r="C2557" s="2">
        <v>41155</v>
      </c>
      <c r="D2557" s="1">
        <v>10</v>
      </c>
      <c r="E2557" s="1" t="s">
        <v>39</v>
      </c>
      <c r="H2557" s="1" t="s">
        <v>54</v>
      </c>
      <c r="I2557" s="1" t="s">
        <v>12</v>
      </c>
      <c r="J2557" s="1" t="s">
        <v>40</v>
      </c>
      <c r="K2557" s="1" t="s">
        <v>14</v>
      </c>
      <c r="L2557" s="1" t="s">
        <v>12</v>
      </c>
      <c r="M2557" s="1" t="s">
        <v>12</v>
      </c>
      <c r="N2557" s="1">
        <v>21.12</v>
      </c>
      <c r="O2557" s="1" t="s">
        <v>32</v>
      </c>
      <c r="P2557" s="1" t="s">
        <v>28</v>
      </c>
      <c r="Q2557" s="1" t="s">
        <v>16</v>
      </c>
      <c r="R2557" s="1" t="str">
        <f>IF(N2557="","",VLOOKUP(N2557,Prior_levels,2,TRUE))</f>
        <v>L</v>
      </c>
    </row>
    <row r="2558" spans="1:18" x14ac:dyDescent="0.2">
      <c r="A2558" s="1" t="s">
        <v>269</v>
      </c>
      <c r="B2558" s="1" t="s">
        <v>12</v>
      </c>
      <c r="C2558" s="2">
        <v>41155</v>
      </c>
      <c r="D2558" s="1">
        <v>10</v>
      </c>
      <c r="E2558" s="1" t="s">
        <v>39</v>
      </c>
      <c r="H2558" s="1" t="s">
        <v>54</v>
      </c>
      <c r="I2558" s="1" t="s">
        <v>12</v>
      </c>
      <c r="J2558" s="1" t="s">
        <v>40</v>
      </c>
      <c r="K2558" s="1" t="s">
        <v>14</v>
      </c>
      <c r="L2558" s="1" t="s">
        <v>12</v>
      </c>
      <c r="M2558" s="1" t="s">
        <v>12</v>
      </c>
      <c r="N2558" s="1">
        <v>21.12</v>
      </c>
      <c r="O2558" s="1" t="s">
        <v>27</v>
      </c>
      <c r="P2558" s="1" t="s">
        <v>28</v>
      </c>
      <c r="Q2558" s="1" t="s">
        <v>16</v>
      </c>
      <c r="R2558" s="1" t="str">
        <f>IF(N2558="","",VLOOKUP(N2558,Prior_levels,2,TRUE))</f>
        <v>L</v>
      </c>
    </row>
    <row r="2559" spans="1:18" x14ac:dyDescent="0.2">
      <c r="A2559" s="1" t="s">
        <v>269</v>
      </c>
      <c r="B2559" s="1" t="s">
        <v>12</v>
      </c>
      <c r="C2559" s="2">
        <v>41155</v>
      </c>
      <c r="D2559" s="1">
        <v>10</v>
      </c>
      <c r="E2559" s="1" t="s">
        <v>39</v>
      </c>
      <c r="H2559" s="1" t="s">
        <v>54</v>
      </c>
      <c r="I2559" s="1" t="s">
        <v>12</v>
      </c>
      <c r="J2559" s="1" t="s">
        <v>40</v>
      </c>
      <c r="K2559" s="1" t="s">
        <v>14</v>
      </c>
      <c r="L2559" s="1" t="s">
        <v>12</v>
      </c>
      <c r="M2559" s="1" t="s">
        <v>12</v>
      </c>
      <c r="N2559" s="1">
        <v>21.12</v>
      </c>
      <c r="O2559" s="1" t="s">
        <v>29</v>
      </c>
      <c r="P2559" s="1" t="s">
        <v>28</v>
      </c>
      <c r="Q2559" s="1" t="s">
        <v>16</v>
      </c>
      <c r="R2559" s="1" t="str">
        <f>IF(N2559="","",VLOOKUP(N2559,Prior_levels,2,TRUE))</f>
        <v>L</v>
      </c>
    </row>
    <row r="2560" spans="1:18" x14ac:dyDescent="0.2">
      <c r="A2560" s="1" t="s">
        <v>269</v>
      </c>
      <c r="B2560" s="1" t="s">
        <v>12</v>
      </c>
      <c r="C2560" s="2">
        <v>41155</v>
      </c>
      <c r="D2560" s="1">
        <v>10</v>
      </c>
      <c r="E2560" s="1" t="s">
        <v>39</v>
      </c>
      <c r="H2560" s="1" t="s">
        <v>54</v>
      </c>
      <c r="I2560" s="1" t="s">
        <v>12</v>
      </c>
      <c r="J2560" s="1" t="s">
        <v>40</v>
      </c>
      <c r="K2560" s="1" t="s">
        <v>14</v>
      </c>
      <c r="L2560" s="1" t="s">
        <v>12</v>
      </c>
      <c r="M2560" s="1" t="s">
        <v>12</v>
      </c>
      <c r="N2560" s="1">
        <v>21.12</v>
      </c>
      <c r="O2560" s="1" t="s">
        <v>30</v>
      </c>
      <c r="P2560" s="1" t="s">
        <v>28</v>
      </c>
      <c r="Q2560" s="1" t="s">
        <v>16</v>
      </c>
      <c r="R2560" s="1" t="str">
        <f>IF(N2560="","",VLOOKUP(N2560,Prior_levels,2,TRUE))</f>
        <v>L</v>
      </c>
    </row>
    <row r="2561" spans="1:18" x14ac:dyDescent="0.2">
      <c r="A2561" s="1" t="s">
        <v>269</v>
      </c>
      <c r="B2561" s="1" t="s">
        <v>12</v>
      </c>
      <c r="C2561" s="2">
        <v>41155</v>
      </c>
      <c r="D2561" s="1">
        <v>10</v>
      </c>
      <c r="E2561" s="1" t="s">
        <v>39</v>
      </c>
      <c r="H2561" s="1" t="s">
        <v>54</v>
      </c>
      <c r="I2561" s="1" t="s">
        <v>12</v>
      </c>
      <c r="J2561" s="1" t="s">
        <v>40</v>
      </c>
      <c r="K2561" s="1" t="s">
        <v>14</v>
      </c>
      <c r="L2561" s="1" t="s">
        <v>12</v>
      </c>
      <c r="M2561" s="1" t="s">
        <v>12</v>
      </c>
      <c r="N2561" s="1">
        <v>21.12</v>
      </c>
      <c r="O2561" s="1" t="s">
        <v>31</v>
      </c>
      <c r="P2561" s="1" t="s">
        <v>28</v>
      </c>
      <c r="Q2561" s="1" t="s">
        <v>16</v>
      </c>
      <c r="R2561" s="1" t="str">
        <f>IF(N2561="","",VLOOKUP(N2561,Prior_levels,2,TRUE))</f>
        <v>L</v>
      </c>
    </row>
    <row r="2562" spans="1:18" x14ac:dyDescent="0.2">
      <c r="A2562" s="1" t="s">
        <v>270</v>
      </c>
      <c r="B2562" s="1" t="s">
        <v>10</v>
      </c>
      <c r="C2562" s="2">
        <v>41155</v>
      </c>
      <c r="D2562" s="1">
        <v>10</v>
      </c>
      <c r="E2562" s="1" t="s">
        <v>34</v>
      </c>
      <c r="H2562" s="1" t="s">
        <v>54</v>
      </c>
      <c r="I2562" s="1" t="s">
        <v>12</v>
      </c>
      <c r="J2562" s="1" t="s">
        <v>40</v>
      </c>
      <c r="K2562" s="1" t="s">
        <v>14</v>
      </c>
      <c r="L2562" s="1" t="s">
        <v>12</v>
      </c>
      <c r="M2562" s="1" t="s">
        <v>12</v>
      </c>
      <c r="N2562" s="1">
        <v>30.18</v>
      </c>
      <c r="O2562" s="1" t="s">
        <v>15</v>
      </c>
      <c r="P2562" s="1">
        <v>4.3</v>
      </c>
      <c r="Q2562" s="1" t="s">
        <v>16</v>
      </c>
      <c r="R2562" s="1" t="str">
        <f>IF(N2562="","",VLOOKUP(N2562,Prior_levels,2,TRUE))</f>
        <v>H</v>
      </c>
    </row>
    <row r="2563" spans="1:18" x14ac:dyDescent="0.2">
      <c r="A2563" s="1" t="s">
        <v>270</v>
      </c>
      <c r="B2563" s="1" t="s">
        <v>10</v>
      </c>
      <c r="C2563" s="2">
        <v>41155</v>
      </c>
      <c r="D2563" s="1">
        <v>10</v>
      </c>
      <c r="E2563" s="1" t="s">
        <v>34</v>
      </c>
      <c r="H2563" s="1" t="s">
        <v>54</v>
      </c>
      <c r="I2563" s="1" t="s">
        <v>12</v>
      </c>
      <c r="J2563" s="1" t="s">
        <v>40</v>
      </c>
      <c r="K2563" s="1" t="s">
        <v>14</v>
      </c>
      <c r="L2563" s="1" t="s">
        <v>12</v>
      </c>
      <c r="M2563" s="1" t="s">
        <v>12</v>
      </c>
      <c r="N2563" s="1">
        <v>30.18</v>
      </c>
      <c r="O2563" s="1" t="s">
        <v>17</v>
      </c>
      <c r="P2563" s="1">
        <v>-1.29</v>
      </c>
      <c r="Q2563" s="1" t="s">
        <v>16</v>
      </c>
      <c r="R2563" s="1" t="str">
        <f>IF(N2563="","",VLOOKUP(N2563,Prior_levels,2,TRUE))</f>
        <v>H</v>
      </c>
    </row>
    <row r="2564" spans="1:18" x14ac:dyDescent="0.2">
      <c r="A2564" s="1" t="s">
        <v>270</v>
      </c>
      <c r="B2564" s="1" t="s">
        <v>10</v>
      </c>
      <c r="C2564" s="2">
        <v>41155</v>
      </c>
      <c r="D2564" s="1">
        <v>10</v>
      </c>
      <c r="E2564" s="1" t="s">
        <v>34</v>
      </c>
      <c r="H2564" s="1" t="s">
        <v>54</v>
      </c>
      <c r="I2564" s="1" t="s">
        <v>12</v>
      </c>
      <c r="J2564" s="1" t="s">
        <v>40</v>
      </c>
      <c r="K2564" s="1" t="s">
        <v>14</v>
      </c>
      <c r="L2564" s="1" t="s">
        <v>12</v>
      </c>
      <c r="M2564" s="1" t="s">
        <v>12</v>
      </c>
      <c r="N2564" s="1">
        <v>30.18</v>
      </c>
      <c r="O2564" s="1" t="s">
        <v>18</v>
      </c>
      <c r="P2564" s="1">
        <v>10</v>
      </c>
      <c r="Q2564" s="1" t="s">
        <v>16</v>
      </c>
      <c r="R2564" s="1" t="str">
        <f>IF(N2564="","",VLOOKUP(N2564,Prior_levels,2,TRUE))</f>
        <v>H</v>
      </c>
    </row>
    <row r="2565" spans="1:18" x14ac:dyDescent="0.2">
      <c r="A2565" s="1" t="s">
        <v>270</v>
      </c>
      <c r="B2565" s="1" t="s">
        <v>10</v>
      </c>
      <c r="C2565" s="2">
        <v>41155</v>
      </c>
      <c r="D2565" s="1">
        <v>10</v>
      </c>
      <c r="E2565" s="1" t="s">
        <v>34</v>
      </c>
      <c r="H2565" s="1" t="s">
        <v>54</v>
      </c>
      <c r="I2565" s="1" t="s">
        <v>12</v>
      </c>
      <c r="J2565" s="1" t="s">
        <v>40</v>
      </c>
      <c r="K2565" s="1" t="s">
        <v>14</v>
      </c>
      <c r="L2565" s="1" t="s">
        <v>12</v>
      </c>
      <c r="M2565" s="1" t="s">
        <v>12</v>
      </c>
      <c r="N2565" s="1">
        <v>30.18</v>
      </c>
      <c r="O2565" s="1" t="s">
        <v>19</v>
      </c>
      <c r="P2565" s="1">
        <v>8</v>
      </c>
      <c r="Q2565" s="1" t="s">
        <v>16</v>
      </c>
      <c r="R2565" s="1" t="str">
        <f>IF(N2565="","",VLOOKUP(N2565,Prior_levels,2,TRUE))</f>
        <v>H</v>
      </c>
    </row>
    <row r="2566" spans="1:18" x14ac:dyDescent="0.2">
      <c r="A2566" s="1" t="s">
        <v>270</v>
      </c>
      <c r="B2566" s="1" t="s">
        <v>10</v>
      </c>
      <c r="C2566" s="2">
        <v>41155</v>
      </c>
      <c r="D2566" s="1">
        <v>10</v>
      </c>
      <c r="E2566" s="1" t="s">
        <v>34</v>
      </c>
      <c r="H2566" s="1" t="s">
        <v>54</v>
      </c>
      <c r="I2566" s="1" t="s">
        <v>12</v>
      </c>
      <c r="J2566" s="1" t="s">
        <v>40</v>
      </c>
      <c r="K2566" s="1" t="s">
        <v>14</v>
      </c>
      <c r="L2566" s="1" t="s">
        <v>12</v>
      </c>
      <c r="M2566" s="1" t="s">
        <v>12</v>
      </c>
      <c r="N2566" s="1">
        <v>30.18</v>
      </c>
      <c r="O2566" s="1" t="s">
        <v>20</v>
      </c>
      <c r="P2566" s="1">
        <v>12</v>
      </c>
      <c r="Q2566" s="1" t="s">
        <v>16</v>
      </c>
      <c r="R2566" s="1" t="str">
        <f>IF(N2566="","",VLOOKUP(N2566,Prior_levels,2,TRUE))</f>
        <v>H</v>
      </c>
    </row>
    <row r="2567" spans="1:18" x14ac:dyDescent="0.2">
      <c r="A2567" s="1" t="s">
        <v>270</v>
      </c>
      <c r="B2567" s="1" t="s">
        <v>10</v>
      </c>
      <c r="C2567" s="2">
        <v>41155</v>
      </c>
      <c r="D2567" s="1">
        <v>10</v>
      </c>
      <c r="E2567" s="1" t="s">
        <v>34</v>
      </c>
      <c r="H2567" s="1" t="s">
        <v>54</v>
      </c>
      <c r="I2567" s="1" t="s">
        <v>12</v>
      </c>
      <c r="J2567" s="1" t="s">
        <v>40</v>
      </c>
      <c r="K2567" s="1" t="s">
        <v>14</v>
      </c>
      <c r="L2567" s="1" t="s">
        <v>12</v>
      </c>
      <c r="M2567" s="1" t="s">
        <v>12</v>
      </c>
      <c r="N2567" s="1">
        <v>30.18</v>
      </c>
      <c r="O2567" s="1" t="s">
        <v>21</v>
      </c>
      <c r="P2567" s="1">
        <v>13</v>
      </c>
      <c r="Q2567" s="1" t="s">
        <v>16</v>
      </c>
      <c r="R2567" s="1" t="str">
        <f>IF(N2567="","",VLOOKUP(N2567,Prior_levels,2,TRUE))</f>
        <v>H</v>
      </c>
    </row>
    <row r="2568" spans="1:18" x14ac:dyDescent="0.2">
      <c r="A2568" s="1" t="s">
        <v>270</v>
      </c>
      <c r="B2568" s="1" t="s">
        <v>10</v>
      </c>
      <c r="C2568" s="2">
        <v>41155</v>
      </c>
      <c r="D2568" s="1">
        <v>10</v>
      </c>
      <c r="E2568" s="1" t="s">
        <v>34</v>
      </c>
      <c r="H2568" s="1" t="s">
        <v>54</v>
      </c>
      <c r="I2568" s="1" t="s">
        <v>12</v>
      </c>
      <c r="J2568" s="1" t="s">
        <v>40</v>
      </c>
      <c r="K2568" s="1" t="s">
        <v>14</v>
      </c>
      <c r="L2568" s="1" t="s">
        <v>12</v>
      </c>
      <c r="M2568" s="1" t="s">
        <v>12</v>
      </c>
      <c r="N2568" s="1">
        <v>30.18</v>
      </c>
      <c r="O2568" s="1" t="s">
        <v>22</v>
      </c>
      <c r="P2568" s="1">
        <v>-0.85</v>
      </c>
      <c r="Q2568" s="1" t="s">
        <v>16</v>
      </c>
      <c r="R2568" s="1" t="str">
        <f>IF(N2568="","",VLOOKUP(N2568,Prior_levels,2,TRUE))</f>
        <v>H</v>
      </c>
    </row>
    <row r="2569" spans="1:18" x14ac:dyDescent="0.2">
      <c r="A2569" s="1" t="s">
        <v>270</v>
      </c>
      <c r="B2569" s="1" t="s">
        <v>10</v>
      </c>
      <c r="C2569" s="2">
        <v>41155</v>
      </c>
      <c r="D2569" s="1">
        <v>10</v>
      </c>
      <c r="E2569" s="1" t="s">
        <v>34</v>
      </c>
      <c r="H2569" s="1" t="s">
        <v>54</v>
      </c>
      <c r="I2569" s="1" t="s">
        <v>12</v>
      </c>
      <c r="J2569" s="1" t="s">
        <v>40</v>
      </c>
      <c r="K2569" s="1" t="s">
        <v>14</v>
      </c>
      <c r="L2569" s="1" t="s">
        <v>12</v>
      </c>
      <c r="M2569" s="1" t="s">
        <v>12</v>
      </c>
      <c r="N2569" s="1">
        <v>30.18</v>
      </c>
      <c r="O2569" s="1" t="s">
        <v>23</v>
      </c>
      <c r="P2569" s="1">
        <v>-1.63</v>
      </c>
      <c r="Q2569" s="1" t="s">
        <v>16</v>
      </c>
      <c r="R2569" s="1" t="str">
        <f>IF(N2569="","",VLOOKUP(N2569,Prior_levels,2,TRUE))</f>
        <v>H</v>
      </c>
    </row>
    <row r="2570" spans="1:18" x14ac:dyDescent="0.2">
      <c r="A2570" s="1" t="s">
        <v>270</v>
      </c>
      <c r="B2570" s="1" t="s">
        <v>10</v>
      </c>
      <c r="C2570" s="2">
        <v>41155</v>
      </c>
      <c r="D2570" s="1">
        <v>10</v>
      </c>
      <c r="E2570" s="1" t="s">
        <v>34</v>
      </c>
      <c r="H2570" s="1" t="s">
        <v>54</v>
      </c>
      <c r="I2570" s="1" t="s">
        <v>12</v>
      </c>
      <c r="J2570" s="1" t="s">
        <v>40</v>
      </c>
      <c r="K2570" s="1" t="s">
        <v>14</v>
      </c>
      <c r="L2570" s="1" t="s">
        <v>12</v>
      </c>
      <c r="M2570" s="1" t="s">
        <v>12</v>
      </c>
      <c r="N2570" s="1">
        <v>30.18</v>
      </c>
      <c r="O2570" s="1" t="s">
        <v>24</v>
      </c>
      <c r="P2570" s="1">
        <v>-3.71</v>
      </c>
      <c r="Q2570" s="1" t="s">
        <v>16</v>
      </c>
      <c r="R2570" s="1" t="str">
        <f>IF(N2570="","",VLOOKUP(N2570,Prior_levels,2,TRUE))</f>
        <v>H</v>
      </c>
    </row>
    <row r="2571" spans="1:18" x14ac:dyDescent="0.2">
      <c r="A2571" s="1" t="s">
        <v>270</v>
      </c>
      <c r="B2571" s="1" t="s">
        <v>10</v>
      </c>
      <c r="C2571" s="2">
        <v>41155</v>
      </c>
      <c r="D2571" s="1">
        <v>10</v>
      </c>
      <c r="E2571" s="1" t="s">
        <v>34</v>
      </c>
      <c r="H2571" s="1" t="s">
        <v>54</v>
      </c>
      <c r="I2571" s="1" t="s">
        <v>12</v>
      </c>
      <c r="J2571" s="1" t="s">
        <v>40</v>
      </c>
      <c r="K2571" s="1" t="s">
        <v>14</v>
      </c>
      <c r="L2571" s="1" t="s">
        <v>12</v>
      </c>
      <c r="M2571" s="1" t="s">
        <v>12</v>
      </c>
      <c r="N2571" s="1">
        <v>30.18</v>
      </c>
      <c r="O2571" s="1" t="s">
        <v>25</v>
      </c>
      <c r="P2571" s="1">
        <v>-4.21</v>
      </c>
      <c r="Q2571" s="1" t="s">
        <v>16</v>
      </c>
      <c r="R2571" s="1" t="str">
        <f>IF(N2571="","",VLOOKUP(N2571,Prior_levels,2,TRUE))</f>
        <v>H</v>
      </c>
    </row>
    <row r="2572" spans="1:18" x14ac:dyDescent="0.2">
      <c r="A2572" s="1" t="s">
        <v>270</v>
      </c>
      <c r="B2572" s="1" t="s">
        <v>10</v>
      </c>
      <c r="C2572" s="2">
        <v>41155</v>
      </c>
      <c r="D2572" s="1">
        <v>10</v>
      </c>
      <c r="E2572" s="1" t="s">
        <v>34</v>
      </c>
      <c r="H2572" s="1" t="s">
        <v>54</v>
      </c>
      <c r="I2572" s="1" t="s">
        <v>12</v>
      </c>
      <c r="J2572" s="1" t="s">
        <v>40</v>
      </c>
      <c r="K2572" s="1" t="s">
        <v>14</v>
      </c>
      <c r="L2572" s="1" t="s">
        <v>12</v>
      </c>
      <c r="M2572" s="1" t="s">
        <v>12</v>
      </c>
      <c r="N2572" s="1">
        <v>30.18</v>
      </c>
      <c r="O2572" s="1" t="s">
        <v>26</v>
      </c>
      <c r="P2572" s="1">
        <v>7</v>
      </c>
      <c r="Q2572" s="1" t="s">
        <v>16</v>
      </c>
      <c r="R2572" s="1" t="str">
        <f>IF(N2572="","",VLOOKUP(N2572,Prior_levels,2,TRUE))</f>
        <v>H</v>
      </c>
    </row>
    <row r="2573" spans="1:18" x14ac:dyDescent="0.2">
      <c r="A2573" s="1" t="s">
        <v>270</v>
      </c>
      <c r="B2573" s="1" t="s">
        <v>10</v>
      </c>
      <c r="C2573" s="2">
        <v>41155</v>
      </c>
      <c r="D2573" s="1">
        <v>10</v>
      </c>
      <c r="E2573" s="1" t="s">
        <v>34</v>
      </c>
      <c r="H2573" s="1" t="s">
        <v>54</v>
      </c>
      <c r="I2573" s="1" t="s">
        <v>12</v>
      </c>
      <c r="J2573" s="1" t="s">
        <v>40</v>
      </c>
      <c r="K2573" s="1" t="s">
        <v>14</v>
      </c>
      <c r="L2573" s="1" t="s">
        <v>12</v>
      </c>
      <c r="M2573" s="1" t="s">
        <v>12</v>
      </c>
      <c r="N2573" s="1">
        <v>30.18</v>
      </c>
      <c r="O2573" s="1" t="s">
        <v>32</v>
      </c>
      <c r="P2573" s="1" t="s">
        <v>28</v>
      </c>
      <c r="Q2573" s="1" t="s">
        <v>16</v>
      </c>
      <c r="R2573" s="1" t="str">
        <f>IF(N2573="","",VLOOKUP(N2573,Prior_levels,2,TRUE))</f>
        <v>H</v>
      </c>
    </row>
    <row r="2574" spans="1:18" x14ac:dyDescent="0.2">
      <c r="A2574" s="1" t="s">
        <v>270</v>
      </c>
      <c r="B2574" s="1" t="s">
        <v>10</v>
      </c>
      <c r="C2574" s="2">
        <v>41155</v>
      </c>
      <c r="D2574" s="1">
        <v>10</v>
      </c>
      <c r="E2574" s="1" t="s">
        <v>34</v>
      </c>
      <c r="H2574" s="1" t="s">
        <v>54</v>
      </c>
      <c r="I2574" s="1" t="s">
        <v>12</v>
      </c>
      <c r="J2574" s="1" t="s">
        <v>40</v>
      </c>
      <c r="K2574" s="1" t="s">
        <v>14</v>
      </c>
      <c r="L2574" s="1" t="s">
        <v>12</v>
      </c>
      <c r="M2574" s="1" t="s">
        <v>12</v>
      </c>
      <c r="N2574" s="1">
        <v>30.18</v>
      </c>
      <c r="O2574" s="1" t="s">
        <v>27</v>
      </c>
      <c r="P2574" s="1" t="s">
        <v>28</v>
      </c>
      <c r="Q2574" s="1" t="s">
        <v>16</v>
      </c>
      <c r="R2574" s="1" t="str">
        <f>IF(N2574="","",VLOOKUP(N2574,Prior_levels,2,TRUE))</f>
        <v>H</v>
      </c>
    </row>
    <row r="2575" spans="1:18" x14ac:dyDescent="0.2">
      <c r="A2575" s="1" t="s">
        <v>270</v>
      </c>
      <c r="B2575" s="1" t="s">
        <v>10</v>
      </c>
      <c r="C2575" s="2">
        <v>41155</v>
      </c>
      <c r="D2575" s="1">
        <v>10</v>
      </c>
      <c r="E2575" s="1" t="s">
        <v>34</v>
      </c>
      <c r="H2575" s="1" t="s">
        <v>54</v>
      </c>
      <c r="I2575" s="1" t="s">
        <v>12</v>
      </c>
      <c r="J2575" s="1" t="s">
        <v>40</v>
      </c>
      <c r="K2575" s="1" t="s">
        <v>14</v>
      </c>
      <c r="L2575" s="1" t="s">
        <v>12</v>
      </c>
      <c r="M2575" s="1" t="s">
        <v>12</v>
      </c>
      <c r="N2575" s="1">
        <v>30.18</v>
      </c>
      <c r="O2575" s="1" t="s">
        <v>29</v>
      </c>
      <c r="P2575" s="1" t="s">
        <v>37</v>
      </c>
      <c r="Q2575" s="1" t="s">
        <v>16</v>
      </c>
      <c r="R2575" s="1" t="str">
        <f>IF(N2575="","",VLOOKUP(N2575,Prior_levels,2,TRUE))</f>
        <v>H</v>
      </c>
    </row>
    <row r="2576" spans="1:18" x14ac:dyDescent="0.2">
      <c r="A2576" s="1" t="s">
        <v>270</v>
      </c>
      <c r="B2576" s="1" t="s">
        <v>10</v>
      </c>
      <c r="C2576" s="2">
        <v>41155</v>
      </c>
      <c r="D2576" s="1">
        <v>10</v>
      </c>
      <c r="E2576" s="1" t="s">
        <v>34</v>
      </c>
      <c r="H2576" s="1" t="s">
        <v>54</v>
      </c>
      <c r="I2576" s="1" t="s">
        <v>12</v>
      </c>
      <c r="J2576" s="1" t="s">
        <v>40</v>
      </c>
      <c r="K2576" s="1" t="s">
        <v>14</v>
      </c>
      <c r="L2576" s="1" t="s">
        <v>12</v>
      </c>
      <c r="M2576" s="1" t="s">
        <v>12</v>
      </c>
      <c r="N2576" s="1">
        <v>30.18</v>
      </c>
      <c r="O2576" s="1" t="s">
        <v>30</v>
      </c>
      <c r="P2576" s="1" t="s">
        <v>28</v>
      </c>
      <c r="Q2576" s="1" t="s">
        <v>16</v>
      </c>
      <c r="R2576" s="1" t="str">
        <f>IF(N2576="","",VLOOKUP(N2576,Prior_levels,2,TRUE))</f>
        <v>H</v>
      </c>
    </row>
    <row r="2577" spans="1:18" x14ac:dyDescent="0.2">
      <c r="A2577" s="1" t="s">
        <v>270</v>
      </c>
      <c r="B2577" s="1" t="s">
        <v>10</v>
      </c>
      <c r="C2577" s="2">
        <v>41155</v>
      </c>
      <c r="D2577" s="1">
        <v>10</v>
      </c>
      <c r="E2577" s="1" t="s">
        <v>34</v>
      </c>
      <c r="H2577" s="1" t="s">
        <v>54</v>
      </c>
      <c r="I2577" s="1" t="s">
        <v>12</v>
      </c>
      <c r="J2577" s="1" t="s">
        <v>40</v>
      </c>
      <c r="K2577" s="1" t="s">
        <v>14</v>
      </c>
      <c r="L2577" s="1" t="s">
        <v>12</v>
      </c>
      <c r="M2577" s="1" t="s">
        <v>12</v>
      </c>
      <c r="N2577" s="1">
        <v>30.18</v>
      </c>
      <c r="O2577" s="1" t="s">
        <v>31</v>
      </c>
      <c r="P2577" s="1" t="s">
        <v>28</v>
      </c>
      <c r="Q2577" s="1" t="s">
        <v>16</v>
      </c>
      <c r="R2577" s="1" t="str">
        <f>IF(N2577="","",VLOOKUP(N2577,Prior_levels,2,TRUE))</f>
        <v>H</v>
      </c>
    </row>
    <row r="2578" spans="1:18" x14ac:dyDescent="0.2">
      <c r="A2578" s="1" t="s">
        <v>271</v>
      </c>
      <c r="B2578" s="1" t="s">
        <v>12</v>
      </c>
      <c r="C2578" s="2">
        <v>41155</v>
      </c>
      <c r="D2578" s="1">
        <v>10</v>
      </c>
      <c r="E2578" s="1" t="s">
        <v>47</v>
      </c>
      <c r="H2578" s="1" t="s">
        <v>54</v>
      </c>
      <c r="I2578" s="1" t="s">
        <v>12</v>
      </c>
      <c r="J2578" s="1" t="s">
        <v>201</v>
      </c>
      <c r="K2578" s="1" t="s">
        <v>14</v>
      </c>
      <c r="L2578" s="1" t="s">
        <v>12</v>
      </c>
      <c r="M2578" s="1" t="s">
        <v>12</v>
      </c>
      <c r="N2578" s="1">
        <v>33.18</v>
      </c>
      <c r="O2578" s="1" t="s">
        <v>15</v>
      </c>
      <c r="P2578" s="1">
        <v>6.6</v>
      </c>
      <c r="Q2578" s="1" t="s">
        <v>16</v>
      </c>
      <c r="R2578" s="1" t="str">
        <f>IF(N2578="","",VLOOKUP(N2578,Prior_levels,2,TRUE))</f>
        <v>H</v>
      </c>
    </row>
    <row r="2579" spans="1:18" x14ac:dyDescent="0.2">
      <c r="A2579" s="1" t="s">
        <v>271</v>
      </c>
      <c r="B2579" s="1" t="s">
        <v>12</v>
      </c>
      <c r="C2579" s="2">
        <v>41155</v>
      </c>
      <c r="D2579" s="1">
        <v>10</v>
      </c>
      <c r="E2579" s="1" t="s">
        <v>47</v>
      </c>
      <c r="H2579" s="1" t="s">
        <v>54</v>
      </c>
      <c r="I2579" s="1" t="s">
        <v>12</v>
      </c>
      <c r="J2579" s="1" t="s">
        <v>201</v>
      </c>
      <c r="K2579" s="1" t="s">
        <v>14</v>
      </c>
      <c r="L2579" s="1" t="s">
        <v>12</v>
      </c>
      <c r="M2579" s="1" t="s">
        <v>12</v>
      </c>
      <c r="N2579" s="1">
        <v>33.18</v>
      </c>
      <c r="O2579" s="1" t="s">
        <v>17</v>
      </c>
      <c r="P2579" s="1">
        <v>0.05</v>
      </c>
      <c r="Q2579" s="1" t="s">
        <v>16</v>
      </c>
      <c r="R2579" s="1" t="str">
        <f>IF(N2579="","",VLOOKUP(N2579,Prior_levels,2,TRUE))</f>
        <v>H</v>
      </c>
    </row>
    <row r="2580" spans="1:18" x14ac:dyDescent="0.2">
      <c r="A2580" s="1" t="s">
        <v>271</v>
      </c>
      <c r="B2580" s="1" t="s">
        <v>12</v>
      </c>
      <c r="C2580" s="2">
        <v>41155</v>
      </c>
      <c r="D2580" s="1">
        <v>10</v>
      </c>
      <c r="E2580" s="1" t="s">
        <v>47</v>
      </c>
      <c r="H2580" s="1" t="s">
        <v>54</v>
      </c>
      <c r="I2580" s="1" t="s">
        <v>12</v>
      </c>
      <c r="J2580" s="1" t="s">
        <v>201</v>
      </c>
      <c r="K2580" s="1" t="s">
        <v>14</v>
      </c>
      <c r="L2580" s="1" t="s">
        <v>12</v>
      </c>
      <c r="M2580" s="1" t="s">
        <v>12</v>
      </c>
      <c r="N2580" s="1">
        <v>33.18</v>
      </c>
      <c r="O2580" s="1" t="s">
        <v>18</v>
      </c>
      <c r="P2580" s="1">
        <v>10</v>
      </c>
      <c r="Q2580" s="1" t="s">
        <v>16</v>
      </c>
      <c r="R2580" s="1" t="str">
        <f>IF(N2580="","",VLOOKUP(N2580,Prior_levels,2,TRUE))</f>
        <v>H</v>
      </c>
    </row>
    <row r="2581" spans="1:18" x14ac:dyDescent="0.2">
      <c r="A2581" s="1" t="s">
        <v>271</v>
      </c>
      <c r="B2581" s="1" t="s">
        <v>12</v>
      </c>
      <c r="C2581" s="2">
        <v>41155</v>
      </c>
      <c r="D2581" s="1">
        <v>10</v>
      </c>
      <c r="E2581" s="1" t="s">
        <v>47</v>
      </c>
      <c r="H2581" s="1" t="s">
        <v>54</v>
      </c>
      <c r="I2581" s="1" t="s">
        <v>12</v>
      </c>
      <c r="J2581" s="1" t="s">
        <v>201</v>
      </c>
      <c r="K2581" s="1" t="s">
        <v>14</v>
      </c>
      <c r="L2581" s="1" t="s">
        <v>12</v>
      </c>
      <c r="M2581" s="1" t="s">
        <v>12</v>
      </c>
      <c r="N2581" s="1">
        <v>33.18</v>
      </c>
      <c r="O2581" s="1" t="s">
        <v>19</v>
      </c>
      <c r="P2581" s="1">
        <v>14</v>
      </c>
      <c r="Q2581" s="1" t="s">
        <v>16</v>
      </c>
      <c r="R2581" s="1" t="str">
        <f>IF(N2581="","",VLOOKUP(N2581,Prior_levels,2,TRUE))</f>
        <v>H</v>
      </c>
    </row>
    <row r="2582" spans="1:18" x14ac:dyDescent="0.2">
      <c r="A2582" s="1" t="s">
        <v>271</v>
      </c>
      <c r="B2582" s="1" t="s">
        <v>12</v>
      </c>
      <c r="C2582" s="2">
        <v>41155</v>
      </c>
      <c r="D2582" s="1">
        <v>10</v>
      </c>
      <c r="E2582" s="1" t="s">
        <v>47</v>
      </c>
      <c r="H2582" s="1" t="s">
        <v>54</v>
      </c>
      <c r="I2582" s="1" t="s">
        <v>12</v>
      </c>
      <c r="J2582" s="1" t="s">
        <v>201</v>
      </c>
      <c r="K2582" s="1" t="s">
        <v>14</v>
      </c>
      <c r="L2582" s="1" t="s">
        <v>12</v>
      </c>
      <c r="M2582" s="1" t="s">
        <v>12</v>
      </c>
      <c r="N2582" s="1">
        <v>33.18</v>
      </c>
      <c r="O2582" s="1" t="s">
        <v>20</v>
      </c>
      <c r="P2582" s="1">
        <v>21</v>
      </c>
      <c r="Q2582" s="1" t="s">
        <v>16</v>
      </c>
      <c r="R2582" s="1" t="str">
        <f>IF(N2582="","",VLOOKUP(N2582,Prior_levels,2,TRUE))</f>
        <v>H</v>
      </c>
    </row>
    <row r="2583" spans="1:18" x14ac:dyDescent="0.2">
      <c r="A2583" s="1" t="s">
        <v>271</v>
      </c>
      <c r="B2583" s="1" t="s">
        <v>12</v>
      </c>
      <c r="C2583" s="2">
        <v>41155</v>
      </c>
      <c r="D2583" s="1">
        <v>10</v>
      </c>
      <c r="E2583" s="1" t="s">
        <v>47</v>
      </c>
      <c r="H2583" s="1" t="s">
        <v>54</v>
      </c>
      <c r="I2583" s="1" t="s">
        <v>12</v>
      </c>
      <c r="J2583" s="1" t="s">
        <v>201</v>
      </c>
      <c r="K2583" s="1" t="s">
        <v>14</v>
      </c>
      <c r="L2583" s="1" t="s">
        <v>12</v>
      </c>
      <c r="M2583" s="1" t="s">
        <v>12</v>
      </c>
      <c r="N2583" s="1">
        <v>33.18</v>
      </c>
      <c r="O2583" s="1" t="s">
        <v>21</v>
      </c>
      <c r="P2583" s="1">
        <v>21</v>
      </c>
      <c r="Q2583" s="1" t="s">
        <v>16</v>
      </c>
      <c r="R2583" s="1" t="str">
        <f>IF(N2583="","",VLOOKUP(N2583,Prior_levels,2,TRUE))</f>
        <v>H</v>
      </c>
    </row>
    <row r="2584" spans="1:18" x14ac:dyDescent="0.2">
      <c r="A2584" s="1" t="s">
        <v>271</v>
      </c>
      <c r="B2584" s="1" t="s">
        <v>12</v>
      </c>
      <c r="C2584" s="2">
        <v>41155</v>
      </c>
      <c r="D2584" s="1">
        <v>10</v>
      </c>
      <c r="E2584" s="1" t="s">
        <v>47</v>
      </c>
      <c r="H2584" s="1" t="s">
        <v>54</v>
      </c>
      <c r="I2584" s="1" t="s">
        <v>12</v>
      </c>
      <c r="J2584" s="1" t="s">
        <v>201</v>
      </c>
      <c r="K2584" s="1" t="s">
        <v>14</v>
      </c>
      <c r="L2584" s="1" t="s">
        <v>12</v>
      </c>
      <c r="M2584" s="1" t="s">
        <v>12</v>
      </c>
      <c r="N2584" s="1">
        <v>33.18</v>
      </c>
      <c r="O2584" s="1" t="s">
        <v>22</v>
      </c>
      <c r="P2584" s="1">
        <v>-1.64</v>
      </c>
      <c r="Q2584" s="1" t="s">
        <v>16</v>
      </c>
      <c r="R2584" s="1" t="str">
        <f>IF(N2584="","",VLOOKUP(N2584,Prior_levels,2,TRUE))</f>
        <v>H</v>
      </c>
    </row>
    <row r="2585" spans="1:18" x14ac:dyDescent="0.2">
      <c r="A2585" s="1" t="s">
        <v>271</v>
      </c>
      <c r="B2585" s="1" t="s">
        <v>12</v>
      </c>
      <c r="C2585" s="2">
        <v>41155</v>
      </c>
      <c r="D2585" s="1">
        <v>10</v>
      </c>
      <c r="E2585" s="1" t="s">
        <v>47</v>
      </c>
      <c r="H2585" s="1" t="s">
        <v>54</v>
      </c>
      <c r="I2585" s="1" t="s">
        <v>12</v>
      </c>
      <c r="J2585" s="1" t="s">
        <v>201</v>
      </c>
      <c r="K2585" s="1" t="s">
        <v>14</v>
      </c>
      <c r="L2585" s="1" t="s">
        <v>12</v>
      </c>
      <c r="M2585" s="1" t="s">
        <v>12</v>
      </c>
      <c r="N2585" s="1">
        <v>33.18</v>
      </c>
      <c r="O2585" s="1" t="s">
        <v>23</v>
      </c>
      <c r="P2585" s="1">
        <v>0.34</v>
      </c>
      <c r="Q2585" s="1" t="s">
        <v>16</v>
      </c>
      <c r="R2585" s="1" t="str">
        <f>IF(N2585="","",VLOOKUP(N2585,Prior_levels,2,TRUE))</f>
        <v>H</v>
      </c>
    </row>
    <row r="2586" spans="1:18" x14ac:dyDescent="0.2">
      <c r="A2586" s="1" t="s">
        <v>271</v>
      </c>
      <c r="B2586" s="1" t="s">
        <v>12</v>
      </c>
      <c r="C2586" s="2">
        <v>41155</v>
      </c>
      <c r="D2586" s="1">
        <v>10</v>
      </c>
      <c r="E2586" s="1" t="s">
        <v>47</v>
      </c>
      <c r="H2586" s="1" t="s">
        <v>54</v>
      </c>
      <c r="I2586" s="1" t="s">
        <v>12</v>
      </c>
      <c r="J2586" s="1" t="s">
        <v>201</v>
      </c>
      <c r="K2586" s="1" t="s">
        <v>14</v>
      </c>
      <c r="L2586" s="1" t="s">
        <v>12</v>
      </c>
      <c r="M2586" s="1" t="s">
        <v>12</v>
      </c>
      <c r="N2586" s="1">
        <v>33.18</v>
      </c>
      <c r="O2586" s="1" t="s">
        <v>25</v>
      </c>
      <c r="P2586" s="1">
        <v>1.38</v>
      </c>
      <c r="Q2586" s="1" t="s">
        <v>16</v>
      </c>
      <c r="R2586" s="1" t="str">
        <f>IF(N2586="","",VLOOKUP(N2586,Prior_levels,2,TRUE))</f>
        <v>H</v>
      </c>
    </row>
    <row r="2587" spans="1:18" x14ac:dyDescent="0.2">
      <c r="A2587" s="1" t="s">
        <v>271</v>
      </c>
      <c r="B2587" s="1" t="s">
        <v>12</v>
      </c>
      <c r="C2587" s="2">
        <v>41155</v>
      </c>
      <c r="D2587" s="1">
        <v>10</v>
      </c>
      <c r="E2587" s="1" t="s">
        <v>47</v>
      </c>
      <c r="H2587" s="1" t="s">
        <v>54</v>
      </c>
      <c r="I2587" s="1" t="s">
        <v>12</v>
      </c>
      <c r="J2587" s="1" t="s">
        <v>201</v>
      </c>
      <c r="K2587" s="1" t="s">
        <v>14</v>
      </c>
      <c r="L2587" s="1" t="s">
        <v>12</v>
      </c>
      <c r="M2587" s="1" t="s">
        <v>12</v>
      </c>
      <c r="N2587" s="1">
        <v>33.18</v>
      </c>
      <c r="O2587" s="1" t="s">
        <v>26</v>
      </c>
      <c r="P2587" s="1">
        <v>12</v>
      </c>
      <c r="Q2587" s="1" t="s">
        <v>16</v>
      </c>
      <c r="R2587" s="1" t="str">
        <f>IF(N2587="","",VLOOKUP(N2587,Prior_levels,2,TRUE))</f>
        <v>H</v>
      </c>
    </row>
    <row r="2588" spans="1:18" x14ac:dyDescent="0.2">
      <c r="A2588" s="1" t="s">
        <v>271</v>
      </c>
      <c r="B2588" s="1" t="s">
        <v>12</v>
      </c>
      <c r="C2588" s="2">
        <v>41155</v>
      </c>
      <c r="D2588" s="1">
        <v>10</v>
      </c>
      <c r="E2588" s="1" t="s">
        <v>47</v>
      </c>
      <c r="H2588" s="1" t="s">
        <v>54</v>
      </c>
      <c r="I2588" s="1" t="s">
        <v>12</v>
      </c>
      <c r="J2588" s="1" t="s">
        <v>201</v>
      </c>
      <c r="K2588" s="1" t="s">
        <v>14</v>
      </c>
      <c r="L2588" s="1" t="s">
        <v>12</v>
      </c>
      <c r="M2588" s="1" t="s">
        <v>12</v>
      </c>
      <c r="N2588" s="1">
        <v>33.18</v>
      </c>
      <c r="O2588" s="1" t="s">
        <v>24</v>
      </c>
      <c r="P2588" s="1">
        <v>1.73</v>
      </c>
      <c r="Q2588" s="1" t="s">
        <v>16</v>
      </c>
      <c r="R2588" s="1" t="str">
        <f>IF(N2588="","",VLOOKUP(N2588,Prior_levels,2,TRUE))</f>
        <v>H</v>
      </c>
    </row>
    <row r="2589" spans="1:18" x14ac:dyDescent="0.2">
      <c r="A2589" s="1" t="s">
        <v>271</v>
      </c>
      <c r="B2589" s="1" t="s">
        <v>12</v>
      </c>
      <c r="C2589" s="2">
        <v>41155</v>
      </c>
      <c r="D2589" s="1">
        <v>10</v>
      </c>
      <c r="E2589" s="1" t="s">
        <v>47</v>
      </c>
      <c r="H2589" s="1" t="s">
        <v>54</v>
      </c>
      <c r="I2589" s="1" t="s">
        <v>12</v>
      </c>
      <c r="J2589" s="1" t="s">
        <v>201</v>
      </c>
      <c r="K2589" s="1" t="s">
        <v>14</v>
      </c>
      <c r="L2589" s="1" t="s">
        <v>12</v>
      </c>
      <c r="M2589" s="1" t="s">
        <v>12</v>
      </c>
      <c r="N2589" s="1">
        <v>33.18</v>
      </c>
      <c r="O2589" s="1" t="s">
        <v>27</v>
      </c>
      <c r="P2589" s="1" t="s">
        <v>37</v>
      </c>
      <c r="Q2589" s="1" t="s">
        <v>16</v>
      </c>
      <c r="R2589" s="1" t="str">
        <f>IF(N2589="","",VLOOKUP(N2589,Prior_levels,2,TRUE))</f>
        <v>H</v>
      </c>
    </row>
    <row r="2590" spans="1:18" x14ac:dyDescent="0.2">
      <c r="A2590" s="1" t="s">
        <v>271</v>
      </c>
      <c r="B2590" s="1" t="s">
        <v>12</v>
      </c>
      <c r="C2590" s="2">
        <v>41155</v>
      </c>
      <c r="D2590" s="1">
        <v>10</v>
      </c>
      <c r="E2590" s="1" t="s">
        <v>47</v>
      </c>
      <c r="H2590" s="1" t="s">
        <v>54</v>
      </c>
      <c r="I2590" s="1" t="s">
        <v>12</v>
      </c>
      <c r="J2590" s="1" t="s">
        <v>201</v>
      </c>
      <c r="K2590" s="1" t="s">
        <v>14</v>
      </c>
      <c r="L2590" s="1" t="s">
        <v>12</v>
      </c>
      <c r="M2590" s="1" t="s">
        <v>12</v>
      </c>
      <c r="N2590" s="1">
        <v>33.18</v>
      </c>
      <c r="O2590" s="1" t="s">
        <v>29</v>
      </c>
      <c r="P2590" s="1" t="s">
        <v>37</v>
      </c>
      <c r="Q2590" s="1" t="s">
        <v>16</v>
      </c>
      <c r="R2590" s="1" t="str">
        <f>IF(N2590="","",VLOOKUP(N2590,Prior_levels,2,TRUE))</f>
        <v>H</v>
      </c>
    </row>
    <row r="2591" spans="1:18" x14ac:dyDescent="0.2">
      <c r="A2591" s="1" t="s">
        <v>271</v>
      </c>
      <c r="B2591" s="1" t="s">
        <v>12</v>
      </c>
      <c r="C2591" s="2">
        <v>41155</v>
      </c>
      <c r="D2591" s="1">
        <v>10</v>
      </c>
      <c r="E2591" s="1" t="s">
        <v>47</v>
      </c>
      <c r="H2591" s="1" t="s">
        <v>54</v>
      </c>
      <c r="I2591" s="1" t="s">
        <v>12</v>
      </c>
      <c r="J2591" s="1" t="s">
        <v>201</v>
      </c>
      <c r="K2591" s="1" t="s">
        <v>14</v>
      </c>
      <c r="L2591" s="1" t="s">
        <v>12</v>
      </c>
      <c r="M2591" s="1" t="s">
        <v>12</v>
      </c>
      <c r="N2591" s="1">
        <v>33.18</v>
      </c>
      <c r="O2591" s="1" t="s">
        <v>30</v>
      </c>
      <c r="P2591" s="1" t="s">
        <v>37</v>
      </c>
      <c r="Q2591" s="1" t="s">
        <v>16</v>
      </c>
      <c r="R2591" s="1" t="str">
        <f>IF(N2591="","",VLOOKUP(N2591,Prior_levels,2,TRUE))</f>
        <v>H</v>
      </c>
    </row>
    <row r="2592" spans="1:18" x14ac:dyDescent="0.2">
      <c r="A2592" s="1" t="s">
        <v>271</v>
      </c>
      <c r="B2592" s="1" t="s">
        <v>12</v>
      </c>
      <c r="C2592" s="2">
        <v>41155</v>
      </c>
      <c r="D2592" s="1">
        <v>10</v>
      </c>
      <c r="E2592" s="1" t="s">
        <v>47</v>
      </c>
      <c r="H2592" s="1" t="s">
        <v>54</v>
      </c>
      <c r="I2592" s="1" t="s">
        <v>12</v>
      </c>
      <c r="J2592" s="1" t="s">
        <v>201</v>
      </c>
      <c r="K2592" s="1" t="s">
        <v>14</v>
      </c>
      <c r="L2592" s="1" t="s">
        <v>12</v>
      </c>
      <c r="M2592" s="1" t="s">
        <v>12</v>
      </c>
      <c r="N2592" s="1">
        <v>33.18</v>
      </c>
      <c r="O2592" s="1" t="s">
        <v>31</v>
      </c>
      <c r="P2592" s="1" t="s">
        <v>37</v>
      </c>
      <c r="Q2592" s="1" t="s">
        <v>16</v>
      </c>
      <c r="R2592" s="1" t="str">
        <f>IF(N2592="","",VLOOKUP(N2592,Prior_levels,2,TRUE))</f>
        <v>H</v>
      </c>
    </row>
    <row r="2593" spans="1:18" x14ac:dyDescent="0.2">
      <c r="A2593" s="1" t="s">
        <v>271</v>
      </c>
      <c r="B2593" s="1" t="s">
        <v>12</v>
      </c>
      <c r="C2593" s="2">
        <v>41155</v>
      </c>
      <c r="D2593" s="1">
        <v>10</v>
      </c>
      <c r="E2593" s="1" t="s">
        <v>47</v>
      </c>
      <c r="H2593" s="1" t="s">
        <v>54</v>
      </c>
      <c r="I2593" s="1" t="s">
        <v>12</v>
      </c>
      <c r="J2593" s="1" t="s">
        <v>201</v>
      </c>
      <c r="K2593" s="1" t="s">
        <v>14</v>
      </c>
      <c r="L2593" s="1" t="s">
        <v>12</v>
      </c>
      <c r="M2593" s="1" t="s">
        <v>12</v>
      </c>
      <c r="N2593" s="1">
        <v>33.18</v>
      </c>
      <c r="O2593" s="1" t="s">
        <v>32</v>
      </c>
      <c r="P2593" s="1" t="s">
        <v>37</v>
      </c>
      <c r="Q2593" s="1" t="s">
        <v>16</v>
      </c>
      <c r="R2593" s="1" t="str">
        <f>IF(N2593="","",VLOOKUP(N2593,Prior_levels,2,TRUE))</f>
        <v>H</v>
      </c>
    </row>
    <row r="2594" spans="1:18" x14ac:dyDescent="0.2">
      <c r="A2594" s="1" t="s">
        <v>272</v>
      </c>
      <c r="B2594" s="1" t="s">
        <v>10</v>
      </c>
      <c r="C2594" s="2">
        <v>41155</v>
      </c>
      <c r="D2594" s="1">
        <v>10</v>
      </c>
      <c r="E2594" s="1" t="s">
        <v>42</v>
      </c>
      <c r="F2594" s="1" t="s">
        <v>28</v>
      </c>
      <c r="H2594" s="1" t="s">
        <v>48</v>
      </c>
      <c r="I2594" s="1" t="s">
        <v>12</v>
      </c>
      <c r="J2594" s="1" t="s">
        <v>43</v>
      </c>
      <c r="K2594" s="1" t="s">
        <v>14</v>
      </c>
      <c r="L2594" s="1" t="s">
        <v>12</v>
      </c>
      <c r="M2594" s="1" t="s">
        <v>12</v>
      </c>
      <c r="N2594" s="1">
        <v>27.12</v>
      </c>
      <c r="O2594" s="1" t="s">
        <v>15</v>
      </c>
      <c r="P2594" s="1">
        <v>4.5</v>
      </c>
      <c r="Q2594" s="1" t="s">
        <v>16</v>
      </c>
      <c r="R2594" s="1" t="str">
        <f>IF(N2594="","",VLOOKUP(N2594,Prior_levels,2,TRUE))</f>
        <v>M</v>
      </c>
    </row>
    <row r="2595" spans="1:18" x14ac:dyDescent="0.2">
      <c r="A2595" s="1" t="s">
        <v>272</v>
      </c>
      <c r="B2595" s="1" t="s">
        <v>10</v>
      </c>
      <c r="C2595" s="2">
        <v>41155</v>
      </c>
      <c r="D2595" s="1">
        <v>10</v>
      </c>
      <c r="E2595" s="1" t="s">
        <v>42</v>
      </c>
      <c r="F2595" s="1" t="s">
        <v>28</v>
      </c>
      <c r="H2595" s="1" t="s">
        <v>48</v>
      </c>
      <c r="I2595" s="1" t="s">
        <v>12</v>
      </c>
      <c r="J2595" s="1" t="s">
        <v>43</v>
      </c>
      <c r="K2595" s="1" t="s">
        <v>14</v>
      </c>
      <c r="L2595" s="1" t="s">
        <v>12</v>
      </c>
      <c r="M2595" s="1" t="s">
        <v>12</v>
      </c>
      <c r="N2595" s="1">
        <v>27.12</v>
      </c>
      <c r="O2595" s="1" t="s">
        <v>17</v>
      </c>
      <c r="P2595" s="1">
        <v>-0.05</v>
      </c>
      <c r="Q2595" s="1" t="s">
        <v>16</v>
      </c>
      <c r="R2595" s="1" t="str">
        <f>IF(N2595="","",VLOOKUP(N2595,Prior_levels,2,TRUE))</f>
        <v>M</v>
      </c>
    </row>
    <row r="2596" spans="1:18" x14ac:dyDescent="0.2">
      <c r="A2596" s="1" t="s">
        <v>272</v>
      </c>
      <c r="B2596" s="1" t="s">
        <v>10</v>
      </c>
      <c r="C2596" s="2">
        <v>41155</v>
      </c>
      <c r="D2596" s="1">
        <v>10</v>
      </c>
      <c r="E2596" s="1" t="s">
        <v>42</v>
      </c>
      <c r="F2596" s="1" t="s">
        <v>28</v>
      </c>
      <c r="H2596" s="1" t="s">
        <v>48</v>
      </c>
      <c r="I2596" s="1" t="s">
        <v>12</v>
      </c>
      <c r="J2596" s="1" t="s">
        <v>43</v>
      </c>
      <c r="K2596" s="1" t="s">
        <v>14</v>
      </c>
      <c r="L2596" s="1" t="s">
        <v>12</v>
      </c>
      <c r="M2596" s="1" t="s">
        <v>12</v>
      </c>
      <c r="N2596" s="1">
        <v>27.12</v>
      </c>
      <c r="O2596" s="1" t="s">
        <v>18</v>
      </c>
      <c r="P2596" s="1">
        <v>10</v>
      </c>
      <c r="Q2596" s="1" t="s">
        <v>16</v>
      </c>
      <c r="R2596" s="1" t="str">
        <f>IF(N2596="","",VLOOKUP(N2596,Prior_levels,2,TRUE))</f>
        <v>M</v>
      </c>
    </row>
    <row r="2597" spans="1:18" x14ac:dyDescent="0.2">
      <c r="A2597" s="1" t="s">
        <v>272</v>
      </c>
      <c r="B2597" s="1" t="s">
        <v>10</v>
      </c>
      <c r="C2597" s="2">
        <v>41155</v>
      </c>
      <c r="D2597" s="1">
        <v>10</v>
      </c>
      <c r="E2597" s="1" t="s">
        <v>42</v>
      </c>
      <c r="F2597" s="1" t="s">
        <v>28</v>
      </c>
      <c r="H2597" s="1" t="s">
        <v>48</v>
      </c>
      <c r="I2597" s="1" t="s">
        <v>12</v>
      </c>
      <c r="J2597" s="1" t="s">
        <v>43</v>
      </c>
      <c r="K2597" s="1" t="s">
        <v>14</v>
      </c>
      <c r="L2597" s="1" t="s">
        <v>12</v>
      </c>
      <c r="M2597" s="1" t="s">
        <v>12</v>
      </c>
      <c r="N2597" s="1">
        <v>27.12</v>
      </c>
      <c r="O2597" s="1" t="s">
        <v>19</v>
      </c>
      <c r="P2597" s="1">
        <v>10</v>
      </c>
      <c r="Q2597" s="1" t="s">
        <v>16</v>
      </c>
      <c r="R2597" s="1" t="str">
        <f>IF(N2597="","",VLOOKUP(N2597,Prior_levels,2,TRUE))</f>
        <v>M</v>
      </c>
    </row>
    <row r="2598" spans="1:18" x14ac:dyDescent="0.2">
      <c r="A2598" s="1" t="s">
        <v>272</v>
      </c>
      <c r="B2598" s="1" t="s">
        <v>10</v>
      </c>
      <c r="C2598" s="2">
        <v>41155</v>
      </c>
      <c r="D2598" s="1">
        <v>10</v>
      </c>
      <c r="E2598" s="1" t="s">
        <v>42</v>
      </c>
      <c r="F2598" s="1" t="s">
        <v>28</v>
      </c>
      <c r="H2598" s="1" t="s">
        <v>48</v>
      </c>
      <c r="I2598" s="1" t="s">
        <v>12</v>
      </c>
      <c r="J2598" s="1" t="s">
        <v>43</v>
      </c>
      <c r="K2598" s="1" t="s">
        <v>14</v>
      </c>
      <c r="L2598" s="1" t="s">
        <v>12</v>
      </c>
      <c r="M2598" s="1" t="s">
        <v>12</v>
      </c>
      <c r="N2598" s="1">
        <v>27.12</v>
      </c>
      <c r="O2598" s="1" t="s">
        <v>20</v>
      </c>
      <c r="P2598" s="1">
        <v>12</v>
      </c>
      <c r="Q2598" s="1" t="s">
        <v>16</v>
      </c>
      <c r="R2598" s="1" t="str">
        <f>IF(N2598="","",VLOOKUP(N2598,Prior_levels,2,TRUE))</f>
        <v>M</v>
      </c>
    </row>
    <row r="2599" spans="1:18" x14ac:dyDescent="0.2">
      <c r="A2599" s="1" t="s">
        <v>272</v>
      </c>
      <c r="B2599" s="1" t="s">
        <v>10</v>
      </c>
      <c r="C2599" s="2">
        <v>41155</v>
      </c>
      <c r="D2599" s="1">
        <v>10</v>
      </c>
      <c r="E2599" s="1" t="s">
        <v>42</v>
      </c>
      <c r="F2599" s="1" t="s">
        <v>28</v>
      </c>
      <c r="H2599" s="1" t="s">
        <v>48</v>
      </c>
      <c r="I2599" s="1" t="s">
        <v>12</v>
      </c>
      <c r="J2599" s="1" t="s">
        <v>43</v>
      </c>
      <c r="K2599" s="1" t="s">
        <v>14</v>
      </c>
      <c r="L2599" s="1" t="s">
        <v>12</v>
      </c>
      <c r="M2599" s="1" t="s">
        <v>12</v>
      </c>
      <c r="N2599" s="1">
        <v>27.12</v>
      </c>
      <c r="O2599" s="1" t="s">
        <v>21</v>
      </c>
      <c r="P2599" s="1">
        <v>13</v>
      </c>
      <c r="Q2599" s="1" t="s">
        <v>16</v>
      </c>
      <c r="R2599" s="1" t="str">
        <f>IF(N2599="","",VLOOKUP(N2599,Prior_levels,2,TRUE))</f>
        <v>M</v>
      </c>
    </row>
    <row r="2600" spans="1:18" x14ac:dyDescent="0.2">
      <c r="A2600" s="1" t="s">
        <v>272</v>
      </c>
      <c r="B2600" s="1" t="s">
        <v>10</v>
      </c>
      <c r="C2600" s="2">
        <v>41155</v>
      </c>
      <c r="D2600" s="1">
        <v>10</v>
      </c>
      <c r="E2600" s="1" t="s">
        <v>42</v>
      </c>
      <c r="F2600" s="1" t="s">
        <v>28</v>
      </c>
      <c r="H2600" s="1" t="s">
        <v>48</v>
      </c>
      <c r="I2600" s="1" t="s">
        <v>12</v>
      </c>
      <c r="J2600" s="1" t="s">
        <v>43</v>
      </c>
      <c r="K2600" s="1" t="s">
        <v>14</v>
      </c>
      <c r="L2600" s="1" t="s">
        <v>12</v>
      </c>
      <c r="M2600" s="1" t="s">
        <v>12</v>
      </c>
      <c r="N2600" s="1">
        <v>27.12</v>
      </c>
      <c r="O2600" s="1" t="s">
        <v>22</v>
      </c>
      <c r="P2600" s="1">
        <v>-0.05</v>
      </c>
      <c r="Q2600" s="1" t="s">
        <v>16</v>
      </c>
      <c r="R2600" s="1" t="str">
        <f>IF(N2600="","",VLOOKUP(N2600,Prior_levels,2,TRUE))</f>
        <v>M</v>
      </c>
    </row>
    <row r="2601" spans="1:18" x14ac:dyDescent="0.2">
      <c r="A2601" s="1" t="s">
        <v>272</v>
      </c>
      <c r="B2601" s="1" t="s">
        <v>10</v>
      </c>
      <c r="C2601" s="2">
        <v>41155</v>
      </c>
      <c r="D2601" s="1">
        <v>10</v>
      </c>
      <c r="E2601" s="1" t="s">
        <v>42</v>
      </c>
      <c r="F2601" s="1" t="s">
        <v>28</v>
      </c>
      <c r="H2601" s="1" t="s">
        <v>48</v>
      </c>
      <c r="I2601" s="1" t="s">
        <v>12</v>
      </c>
      <c r="J2601" s="1" t="s">
        <v>43</v>
      </c>
      <c r="K2601" s="1" t="s">
        <v>14</v>
      </c>
      <c r="L2601" s="1" t="s">
        <v>12</v>
      </c>
      <c r="M2601" s="1" t="s">
        <v>12</v>
      </c>
      <c r="N2601" s="1">
        <v>27.12</v>
      </c>
      <c r="O2601" s="1" t="s">
        <v>23</v>
      </c>
      <c r="P2601" s="1">
        <v>0.36</v>
      </c>
      <c r="Q2601" s="1" t="s">
        <v>16</v>
      </c>
      <c r="R2601" s="1" t="str">
        <f>IF(N2601="","",VLOOKUP(N2601,Prior_levels,2,TRUE))</f>
        <v>M</v>
      </c>
    </row>
    <row r="2602" spans="1:18" x14ac:dyDescent="0.2">
      <c r="A2602" s="1" t="s">
        <v>272</v>
      </c>
      <c r="B2602" s="1" t="s">
        <v>10</v>
      </c>
      <c r="C2602" s="2">
        <v>41155</v>
      </c>
      <c r="D2602" s="1">
        <v>10</v>
      </c>
      <c r="E2602" s="1" t="s">
        <v>42</v>
      </c>
      <c r="F2602" s="1" t="s">
        <v>28</v>
      </c>
      <c r="H2602" s="1" t="s">
        <v>48</v>
      </c>
      <c r="I2602" s="1" t="s">
        <v>12</v>
      </c>
      <c r="J2602" s="1" t="s">
        <v>43</v>
      </c>
      <c r="K2602" s="1" t="s">
        <v>14</v>
      </c>
      <c r="L2602" s="1" t="s">
        <v>12</v>
      </c>
      <c r="M2602" s="1" t="s">
        <v>12</v>
      </c>
      <c r="N2602" s="1">
        <v>27.12</v>
      </c>
      <c r="O2602" s="1" t="s">
        <v>25</v>
      </c>
      <c r="P2602" s="1">
        <v>-1.89</v>
      </c>
      <c r="Q2602" s="1" t="s">
        <v>16</v>
      </c>
      <c r="R2602" s="1" t="str">
        <f>IF(N2602="","",VLOOKUP(N2602,Prior_levels,2,TRUE))</f>
        <v>M</v>
      </c>
    </row>
    <row r="2603" spans="1:18" x14ac:dyDescent="0.2">
      <c r="A2603" s="1" t="s">
        <v>272</v>
      </c>
      <c r="B2603" s="1" t="s">
        <v>10</v>
      </c>
      <c r="C2603" s="2">
        <v>41155</v>
      </c>
      <c r="D2603" s="1">
        <v>10</v>
      </c>
      <c r="E2603" s="1" t="s">
        <v>42</v>
      </c>
      <c r="F2603" s="1" t="s">
        <v>28</v>
      </c>
      <c r="H2603" s="1" t="s">
        <v>48</v>
      </c>
      <c r="I2603" s="1" t="s">
        <v>12</v>
      </c>
      <c r="J2603" s="1" t="s">
        <v>43</v>
      </c>
      <c r="K2603" s="1" t="s">
        <v>14</v>
      </c>
      <c r="L2603" s="1" t="s">
        <v>12</v>
      </c>
      <c r="M2603" s="1" t="s">
        <v>12</v>
      </c>
      <c r="N2603" s="1">
        <v>27.12</v>
      </c>
      <c r="O2603" s="1" t="s">
        <v>26</v>
      </c>
      <c r="P2603" s="1">
        <v>8</v>
      </c>
      <c r="Q2603" s="1" t="s">
        <v>16</v>
      </c>
      <c r="R2603" s="1" t="str">
        <f>IF(N2603="","",VLOOKUP(N2603,Prior_levels,2,TRUE))</f>
        <v>M</v>
      </c>
    </row>
    <row r="2604" spans="1:18" x14ac:dyDescent="0.2">
      <c r="A2604" s="1" t="s">
        <v>272</v>
      </c>
      <c r="B2604" s="1" t="s">
        <v>10</v>
      </c>
      <c r="C2604" s="2">
        <v>41155</v>
      </c>
      <c r="D2604" s="1">
        <v>10</v>
      </c>
      <c r="E2604" s="1" t="s">
        <v>42</v>
      </c>
      <c r="F2604" s="1" t="s">
        <v>28</v>
      </c>
      <c r="H2604" s="1" t="s">
        <v>48</v>
      </c>
      <c r="I2604" s="1" t="s">
        <v>12</v>
      </c>
      <c r="J2604" s="1" t="s">
        <v>43</v>
      </c>
      <c r="K2604" s="1" t="s">
        <v>14</v>
      </c>
      <c r="L2604" s="1" t="s">
        <v>12</v>
      </c>
      <c r="M2604" s="1" t="s">
        <v>12</v>
      </c>
      <c r="N2604" s="1">
        <v>27.12</v>
      </c>
      <c r="O2604" s="1" t="s">
        <v>24</v>
      </c>
      <c r="P2604" s="1">
        <v>0.75</v>
      </c>
      <c r="Q2604" s="1" t="s">
        <v>16</v>
      </c>
      <c r="R2604" s="1" t="str">
        <f>IF(N2604="","",VLOOKUP(N2604,Prior_levels,2,TRUE))</f>
        <v>M</v>
      </c>
    </row>
    <row r="2605" spans="1:18" x14ac:dyDescent="0.2">
      <c r="A2605" s="1" t="s">
        <v>272</v>
      </c>
      <c r="B2605" s="1" t="s">
        <v>10</v>
      </c>
      <c r="C2605" s="2">
        <v>41155</v>
      </c>
      <c r="D2605" s="1">
        <v>10</v>
      </c>
      <c r="E2605" s="1" t="s">
        <v>42</v>
      </c>
      <c r="F2605" s="1" t="s">
        <v>28</v>
      </c>
      <c r="H2605" s="1" t="s">
        <v>48</v>
      </c>
      <c r="I2605" s="1" t="s">
        <v>12</v>
      </c>
      <c r="J2605" s="1" t="s">
        <v>43</v>
      </c>
      <c r="K2605" s="1" t="s">
        <v>14</v>
      </c>
      <c r="L2605" s="1" t="s">
        <v>12</v>
      </c>
      <c r="M2605" s="1" t="s">
        <v>12</v>
      </c>
      <c r="N2605" s="1">
        <v>27.12</v>
      </c>
      <c r="O2605" s="1" t="s">
        <v>32</v>
      </c>
      <c r="P2605" s="1" t="s">
        <v>37</v>
      </c>
      <c r="Q2605" s="1" t="s">
        <v>16</v>
      </c>
      <c r="R2605" s="1" t="str">
        <f>IF(N2605="","",VLOOKUP(N2605,Prior_levels,2,TRUE))</f>
        <v>M</v>
      </c>
    </row>
    <row r="2606" spans="1:18" x14ac:dyDescent="0.2">
      <c r="A2606" s="1" t="s">
        <v>272</v>
      </c>
      <c r="B2606" s="1" t="s">
        <v>10</v>
      </c>
      <c r="C2606" s="2">
        <v>41155</v>
      </c>
      <c r="D2606" s="1">
        <v>10</v>
      </c>
      <c r="E2606" s="1" t="s">
        <v>42</v>
      </c>
      <c r="F2606" s="1" t="s">
        <v>28</v>
      </c>
      <c r="H2606" s="1" t="s">
        <v>48</v>
      </c>
      <c r="I2606" s="1" t="s">
        <v>12</v>
      </c>
      <c r="J2606" s="1" t="s">
        <v>43</v>
      </c>
      <c r="K2606" s="1" t="s">
        <v>14</v>
      </c>
      <c r="L2606" s="1" t="s">
        <v>12</v>
      </c>
      <c r="M2606" s="1" t="s">
        <v>12</v>
      </c>
      <c r="N2606" s="1">
        <v>27.12</v>
      </c>
      <c r="O2606" s="1" t="s">
        <v>27</v>
      </c>
      <c r="P2606" s="1" t="s">
        <v>37</v>
      </c>
      <c r="Q2606" s="1" t="s">
        <v>16</v>
      </c>
      <c r="R2606" s="1" t="str">
        <f>IF(N2606="","",VLOOKUP(N2606,Prior_levels,2,TRUE))</f>
        <v>M</v>
      </c>
    </row>
    <row r="2607" spans="1:18" x14ac:dyDescent="0.2">
      <c r="A2607" s="1" t="s">
        <v>272</v>
      </c>
      <c r="B2607" s="1" t="s">
        <v>10</v>
      </c>
      <c r="C2607" s="2">
        <v>41155</v>
      </c>
      <c r="D2607" s="1">
        <v>10</v>
      </c>
      <c r="E2607" s="1" t="s">
        <v>42</v>
      </c>
      <c r="F2607" s="1" t="s">
        <v>28</v>
      </c>
      <c r="H2607" s="1" t="s">
        <v>48</v>
      </c>
      <c r="I2607" s="1" t="s">
        <v>12</v>
      </c>
      <c r="J2607" s="1" t="s">
        <v>43</v>
      </c>
      <c r="K2607" s="1" t="s">
        <v>14</v>
      </c>
      <c r="L2607" s="1" t="s">
        <v>12</v>
      </c>
      <c r="M2607" s="1" t="s">
        <v>12</v>
      </c>
      <c r="N2607" s="1">
        <v>27.12</v>
      </c>
      <c r="O2607" s="1" t="s">
        <v>29</v>
      </c>
      <c r="P2607" s="1" t="s">
        <v>37</v>
      </c>
      <c r="Q2607" s="1" t="s">
        <v>16</v>
      </c>
      <c r="R2607" s="1" t="str">
        <f>IF(N2607="","",VLOOKUP(N2607,Prior_levels,2,TRUE))</f>
        <v>M</v>
      </c>
    </row>
    <row r="2608" spans="1:18" x14ac:dyDescent="0.2">
      <c r="A2608" s="1" t="s">
        <v>272</v>
      </c>
      <c r="B2608" s="1" t="s">
        <v>10</v>
      </c>
      <c r="C2608" s="2">
        <v>41155</v>
      </c>
      <c r="D2608" s="1">
        <v>10</v>
      </c>
      <c r="E2608" s="1" t="s">
        <v>42</v>
      </c>
      <c r="F2608" s="1" t="s">
        <v>28</v>
      </c>
      <c r="H2608" s="1" t="s">
        <v>48</v>
      </c>
      <c r="I2608" s="1" t="s">
        <v>12</v>
      </c>
      <c r="J2608" s="1" t="s">
        <v>43</v>
      </c>
      <c r="K2608" s="1" t="s">
        <v>14</v>
      </c>
      <c r="L2608" s="1" t="s">
        <v>12</v>
      </c>
      <c r="M2608" s="1" t="s">
        <v>12</v>
      </c>
      <c r="N2608" s="1">
        <v>27.12</v>
      </c>
      <c r="O2608" s="1" t="s">
        <v>30</v>
      </c>
      <c r="P2608" s="1" t="s">
        <v>37</v>
      </c>
      <c r="Q2608" s="1" t="s">
        <v>16</v>
      </c>
      <c r="R2608" s="1" t="str">
        <f>IF(N2608="","",VLOOKUP(N2608,Prior_levels,2,TRUE))</f>
        <v>M</v>
      </c>
    </row>
    <row r="2609" spans="1:18" x14ac:dyDescent="0.2">
      <c r="A2609" s="1" t="s">
        <v>272</v>
      </c>
      <c r="B2609" s="1" t="s">
        <v>10</v>
      </c>
      <c r="C2609" s="2">
        <v>41155</v>
      </c>
      <c r="D2609" s="1">
        <v>10</v>
      </c>
      <c r="E2609" s="1" t="s">
        <v>42</v>
      </c>
      <c r="F2609" s="1" t="s">
        <v>28</v>
      </c>
      <c r="H2609" s="1" t="s">
        <v>48</v>
      </c>
      <c r="I2609" s="1" t="s">
        <v>12</v>
      </c>
      <c r="J2609" s="1" t="s">
        <v>43</v>
      </c>
      <c r="K2609" s="1" t="s">
        <v>14</v>
      </c>
      <c r="L2609" s="1" t="s">
        <v>12</v>
      </c>
      <c r="M2609" s="1" t="s">
        <v>12</v>
      </c>
      <c r="N2609" s="1">
        <v>27.12</v>
      </c>
      <c r="O2609" s="1" t="s">
        <v>31</v>
      </c>
      <c r="P2609" s="1" t="s">
        <v>28</v>
      </c>
      <c r="Q2609" s="1" t="s">
        <v>16</v>
      </c>
      <c r="R2609" s="1" t="str">
        <f>IF(N2609="","",VLOOKUP(N2609,Prior_levels,2,TRUE))</f>
        <v>M</v>
      </c>
    </row>
    <row r="2610" spans="1:18" x14ac:dyDescent="0.2">
      <c r="A2610" s="1" t="s">
        <v>273</v>
      </c>
      <c r="B2610" s="1" t="s">
        <v>10</v>
      </c>
      <c r="C2610" s="2">
        <v>41155</v>
      </c>
      <c r="D2610" s="1">
        <v>10</v>
      </c>
      <c r="E2610" s="1" t="s">
        <v>42</v>
      </c>
      <c r="H2610" s="1" t="s">
        <v>54</v>
      </c>
      <c r="I2610" s="1" t="s">
        <v>12</v>
      </c>
      <c r="J2610" s="1" t="s">
        <v>43</v>
      </c>
      <c r="K2610" s="1" t="s">
        <v>274</v>
      </c>
      <c r="L2610" s="1" t="s">
        <v>12</v>
      </c>
      <c r="M2610" s="1" t="s">
        <v>12</v>
      </c>
      <c r="N2610" s="1">
        <v>27.12</v>
      </c>
      <c r="O2610" s="1" t="s">
        <v>15</v>
      </c>
      <c r="P2610" s="1">
        <v>5.25</v>
      </c>
      <c r="Q2610" s="1" t="s">
        <v>16</v>
      </c>
      <c r="R2610" s="1" t="str">
        <f>IF(N2610="","",VLOOKUP(N2610,Prior_levels,2,TRUE))</f>
        <v>M</v>
      </c>
    </row>
    <row r="2611" spans="1:18" x14ac:dyDescent="0.2">
      <c r="A2611" s="1" t="s">
        <v>273</v>
      </c>
      <c r="B2611" s="1" t="s">
        <v>10</v>
      </c>
      <c r="C2611" s="2">
        <v>41155</v>
      </c>
      <c r="D2611" s="1">
        <v>10</v>
      </c>
      <c r="E2611" s="1" t="s">
        <v>42</v>
      </c>
      <c r="H2611" s="1" t="s">
        <v>54</v>
      </c>
      <c r="I2611" s="1" t="s">
        <v>12</v>
      </c>
      <c r="J2611" s="1" t="s">
        <v>43</v>
      </c>
      <c r="K2611" s="1" t="s">
        <v>274</v>
      </c>
      <c r="L2611" s="1" t="s">
        <v>12</v>
      </c>
      <c r="M2611" s="1" t="s">
        <v>12</v>
      </c>
      <c r="N2611" s="1">
        <v>27.12</v>
      </c>
      <c r="O2611" s="1" t="s">
        <v>17</v>
      </c>
      <c r="P2611" s="1">
        <v>0.7</v>
      </c>
      <c r="Q2611" s="1" t="s">
        <v>16</v>
      </c>
      <c r="R2611" s="1" t="str">
        <f>IF(N2611="","",VLOOKUP(N2611,Prior_levels,2,TRUE))</f>
        <v>M</v>
      </c>
    </row>
    <row r="2612" spans="1:18" x14ac:dyDescent="0.2">
      <c r="A2612" s="1" t="s">
        <v>273</v>
      </c>
      <c r="B2612" s="1" t="s">
        <v>10</v>
      </c>
      <c r="C2612" s="2">
        <v>41155</v>
      </c>
      <c r="D2612" s="1">
        <v>10</v>
      </c>
      <c r="E2612" s="1" t="s">
        <v>42</v>
      </c>
      <c r="H2612" s="1" t="s">
        <v>54</v>
      </c>
      <c r="I2612" s="1" t="s">
        <v>12</v>
      </c>
      <c r="J2612" s="1" t="s">
        <v>43</v>
      </c>
      <c r="K2612" s="1" t="s">
        <v>274</v>
      </c>
      <c r="L2612" s="1" t="s">
        <v>12</v>
      </c>
      <c r="M2612" s="1" t="s">
        <v>12</v>
      </c>
      <c r="N2612" s="1">
        <v>27.12</v>
      </c>
      <c r="O2612" s="1" t="s">
        <v>18</v>
      </c>
      <c r="P2612" s="1">
        <v>12</v>
      </c>
      <c r="Q2612" s="1" t="s">
        <v>16</v>
      </c>
      <c r="R2612" s="1" t="str">
        <f>IF(N2612="","",VLOOKUP(N2612,Prior_levels,2,TRUE))</f>
        <v>M</v>
      </c>
    </row>
    <row r="2613" spans="1:18" x14ac:dyDescent="0.2">
      <c r="A2613" s="1" t="s">
        <v>273</v>
      </c>
      <c r="B2613" s="1" t="s">
        <v>10</v>
      </c>
      <c r="C2613" s="2">
        <v>41155</v>
      </c>
      <c r="D2613" s="1">
        <v>10</v>
      </c>
      <c r="E2613" s="1" t="s">
        <v>42</v>
      </c>
      <c r="H2613" s="1" t="s">
        <v>54</v>
      </c>
      <c r="I2613" s="1" t="s">
        <v>12</v>
      </c>
      <c r="J2613" s="1" t="s">
        <v>43</v>
      </c>
      <c r="K2613" s="1" t="s">
        <v>274</v>
      </c>
      <c r="L2613" s="1" t="s">
        <v>12</v>
      </c>
      <c r="M2613" s="1" t="s">
        <v>12</v>
      </c>
      <c r="N2613" s="1">
        <v>27.12</v>
      </c>
      <c r="O2613" s="1" t="s">
        <v>19</v>
      </c>
      <c r="P2613" s="1">
        <v>10</v>
      </c>
      <c r="Q2613" s="1" t="s">
        <v>16</v>
      </c>
      <c r="R2613" s="1" t="str">
        <f>IF(N2613="","",VLOOKUP(N2613,Prior_levels,2,TRUE))</f>
        <v>M</v>
      </c>
    </row>
    <row r="2614" spans="1:18" x14ac:dyDescent="0.2">
      <c r="A2614" s="1" t="s">
        <v>273</v>
      </c>
      <c r="B2614" s="1" t="s">
        <v>10</v>
      </c>
      <c r="C2614" s="2">
        <v>41155</v>
      </c>
      <c r="D2614" s="1">
        <v>10</v>
      </c>
      <c r="E2614" s="1" t="s">
        <v>42</v>
      </c>
      <c r="H2614" s="1" t="s">
        <v>54</v>
      </c>
      <c r="I2614" s="1" t="s">
        <v>12</v>
      </c>
      <c r="J2614" s="1" t="s">
        <v>43</v>
      </c>
      <c r="K2614" s="1" t="s">
        <v>274</v>
      </c>
      <c r="L2614" s="1" t="s">
        <v>12</v>
      </c>
      <c r="M2614" s="1" t="s">
        <v>12</v>
      </c>
      <c r="N2614" s="1">
        <v>27.12</v>
      </c>
      <c r="O2614" s="1" t="s">
        <v>20</v>
      </c>
      <c r="P2614" s="1">
        <v>15</v>
      </c>
      <c r="Q2614" s="1" t="s">
        <v>16</v>
      </c>
      <c r="R2614" s="1" t="str">
        <f>IF(N2614="","",VLOOKUP(N2614,Prior_levels,2,TRUE))</f>
        <v>M</v>
      </c>
    </row>
    <row r="2615" spans="1:18" x14ac:dyDescent="0.2">
      <c r="A2615" s="1" t="s">
        <v>273</v>
      </c>
      <c r="B2615" s="1" t="s">
        <v>10</v>
      </c>
      <c r="C2615" s="2">
        <v>41155</v>
      </c>
      <c r="D2615" s="1">
        <v>10</v>
      </c>
      <c r="E2615" s="1" t="s">
        <v>42</v>
      </c>
      <c r="H2615" s="1" t="s">
        <v>54</v>
      </c>
      <c r="I2615" s="1" t="s">
        <v>12</v>
      </c>
      <c r="J2615" s="1" t="s">
        <v>43</v>
      </c>
      <c r="K2615" s="1" t="s">
        <v>274</v>
      </c>
      <c r="L2615" s="1" t="s">
        <v>12</v>
      </c>
      <c r="M2615" s="1" t="s">
        <v>12</v>
      </c>
      <c r="N2615" s="1">
        <v>27.12</v>
      </c>
      <c r="O2615" s="1" t="s">
        <v>21</v>
      </c>
      <c r="P2615" s="1">
        <v>15.5</v>
      </c>
      <c r="Q2615" s="1" t="s">
        <v>16</v>
      </c>
      <c r="R2615" s="1" t="str">
        <f>IF(N2615="","",VLOOKUP(N2615,Prior_levels,2,TRUE))</f>
        <v>M</v>
      </c>
    </row>
    <row r="2616" spans="1:18" x14ac:dyDescent="0.2">
      <c r="A2616" s="1" t="s">
        <v>273</v>
      </c>
      <c r="B2616" s="1" t="s">
        <v>10</v>
      </c>
      <c r="C2616" s="2">
        <v>41155</v>
      </c>
      <c r="D2616" s="1">
        <v>10</v>
      </c>
      <c r="E2616" s="1" t="s">
        <v>42</v>
      </c>
      <c r="H2616" s="1" t="s">
        <v>54</v>
      </c>
      <c r="I2616" s="1" t="s">
        <v>12</v>
      </c>
      <c r="J2616" s="1" t="s">
        <v>43</v>
      </c>
      <c r="K2616" s="1" t="s">
        <v>274</v>
      </c>
      <c r="L2616" s="1" t="s">
        <v>12</v>
      </c>
      <c r="M2616" s="1" t="s">
        <v>12</v>
      </c>
      <c r="N2616" s="1">
        <v>27.12</v>
      </c>
      <c r="O2616" s="1" t="s">
        <v>22</v>
      </c>
      <c r="P2616" s="1">
        <v>0.95</v>
      </c>
      <c r="Q2616" s="1" t="s">
        <v>16</v>
      </c>
      <c r="R2616" s="1" t="str">
        <f>IF(N2616="","",VLOOKUP(N2616,Prior_levels,2,TRUE))</f>
        <v>M</v>
      </c>
    </row>
    <row r="2617" spans="1:18" x14ac:dyDescent="0.2">
      <c r="A2617" s="1" t="s">
        <v>273</v>
      </c>
      <c r="B2617" s="1" t="s">
        <v>10</v>
      </c>
      <c r="C2617" s="2">
        <v>41155</v>
      </c>
      <c r="D2617" s="1">
        <v>10</v>
      </c>
      <c r="E2617" s="1" t="s">
        <v>42</v>
      </c>
      <c r="H2617" s="1" t="s">
        <v>54</v>
      </c>
      <c r="I2617" s="1" t="s">
        <v>12</v>
      </c>
      <c r="J2617" s="1" t="s">
        <v>43</v>
      </c>
      <c r="K2617" s="1" t="s">
        <v>274</v>
      </c>
      <c r="L2617" s="1" t="s">
        <v>12</v>
      </c>
      <c r="M2617" s="1" t="s">
        <v>12</v>
      </c>
      <c r="N2617" s="1">
        <v>27.12</v>
      </c>
      <c r="O2617" s="1" t="s">
        <v>23</v>
      </c>
      <c r="P2617" s="1">
        <v>0.36</v>
      </c>
      <c r="Q2617" s="1" t="s">
        <v>16</v>
      </c>
      <c r="R2617" s="1" t="str">
        <f>IF(N2617="","",VLOOKUP(N2617,Prior_levels,2,TRUE))</f>
        <v>M</v>
      </c>
    </row>
    <row r="2618" spans="1:18" x14ac:dyDescent="0.2">
      <c r="A2618" s="1" t="s">
        <v>273</v>
      </c>
      <c r="B2618" s="1" t="s">
        <v>10</v>
      </c>
      <c r="C2618" s="2">
        <v>41155</v>
      </c>
      <c r="D2618" s="1">
        <v>10</v>
      </c>
      <c r="E2618" s="1" t="s">
        <v>42</v>
      </c>
      <c r="H2618" s="1" t="s">
        <v>54</v>
      </c>
      <c r="I2618" s="1" t="s">
        <v>12</v>
      </c>
      <c r="J2618" s="1" t="s">
        <v>43</v>
      </c>
      <c r="K2618" s="1" t="s">
        <v>274</v>
      </c>
      <c r="L2618" s="1" t="s">
        <v>12</v>
      </c>
      <c r="M2618" s="1" t="s">
        <v>12</v>
      </c>
      <c r="N2618" s="1">
        <v>27.12</v>
      </c>
      <c r="O2618" s="1" t="s">
        <v>25</v>
      </c>
      <c r="P2618" s="1">
        <v>0.61</v>
      </c>
      <c r="Q2618" s="1" t="s">
        <v>16</v>
      </c>
      <c r="R2618" s="1" t="str">
        <f>IF(N2618="","",VLOOKUP(N2618,Prior_levels,2,TRUE))</f>
        <v>M</v>
      </c>
    </row>
    <row r="2619" spans="1:18" x14ac:dyDescent="0.2">
      <c r="A2619" s="1" t="s">
        <v>273</v>
      </c>
      <c r="B2619" s="1" t="s">
        <v>10</v>
      </c>
      <c r="C2619" s="2">
        <v>41155</v>
      </c>
      <c r="D2619" s="1">
        <v>10</v>
      </c>
      <c r="E2619" s="1" t="s">
        <v>42</v>
      </c>
      <c r="H2619" s="1" t="s">
        <v>54</v>
      </c>
      <c r="I2619" s="1" t="s">
        <v>12</v>
      </c>
      <c r="J2619" s="1" t="s">
        <v>43</v>
      </c>
      <c r="K2619" s="1" t="s">
        <v>274</v>
      </c>
      <c r="L2619" s="1" t="s">
        <v>12</v>
      </c>
      <c r="M2619" s="1" t="s">
        <v>12</v>
      </c>
      <c r="N2619" s="1">
        <v>27.12</v>
      </c>
      <c r="O2619" s="1" t="s">
        <v>26</v>
      </c>
      <c r="P2619" s="1">
        <v>9</v>
      </c>
      <c r="Q2619" s="1" t="s">
        <v>16</v>
      </c>
      <c r="R2619" s="1" t="str">
        <f>IF(N2619="","",VLOOKUP(N2619,Prior_levels,2,TRUE))</f>
        <v>M</v>
      </c>
    </row>
    <row r="2620" spans="1:18" x14ac:dyDescent="0.2">
      <c r="A2620" s="1" t="s">
        <v>273</v>
      </c>
      <c r="B2620" s="1" t="s">
        <v>10</v>
      </c>
      <c r="C2620" s="2">
        <v>41155</v>
      </c>
      <c r="D2620" s="1">
        <v>10</v>
      </c>
      <c r="E2620" s="1" t="s">
        <v>42</v>
      </c>
      <c r="H2620" s="1" t="s">
        <v>54</v>
      </c>
      <c r="I2620" s="1" t="s">
        <v>12</v>
      </c>
      <c r="J2620" s="1" t="s">
        <v>43</v>
      </c>
      <c r="K2620" s="1" t="s">
        <v>274</v>
      </c>
      <c r="L2620" s="1" t="s">
        <v>12</v>
      </c>
      <c r="M2620" s="1" t="s">
        <v>12</v>
      </c>
      <c r="N2620" s="1">
        <v>27.12</v>
      </c>
      <c r="O2620" s="1" t="s">
        <v>24</v>
      </c>
      <c r="P2620" s="1">
        <v>3.75</v>
      </c>
      <c r="Q2620" s="1" t="s">
        <v>16</v>
      </c>
      <c r="R2620" s="1" t="str">
        <f>IF(N2620="","",VLOOKUP(N2620,Prior_levels,2,TRUE))</f>
        <v>M</v>
      </c>
    </row>
    <row r="2621" spans="1:18" x14ac:dyDescent="0.2">
      <c r="A2621" s="1" t="s">
        <v>273</v>
      </c>
      <c r="B2621" s="1" t="s">
        <v>10</v>
      </c>
      <c r="C2621" s="2">
        <v>41155</v>
      </c>
      <c r="D2621" s="1">
        <v>10</v>
      </c>
      <c r="E2621" s="1" t="s">
        <v>42</v>
      </c>
      <c r="H2621" s="1" t="s">
        <v>54</v>
      </c>
      <c r="I2621" s="1" t="s">
        <v>12</v>
      </c>
      <c r="J2621" s="1" t="s">
        <v>43</v>
      </c>
      <c r="K2621" s="1" t="s">
        <v>274</v>
      </c>
      <c r="L2621" s="1" t="s">
        <v>12</v>
      </c>
      <c r="M2621" s="1" t="s">
        <v>12</v>
      </c>
      <c r="N2621" s="1">
        <v>27.12</v>
      </c>
      <c r="O2621" s="1" t="s">
        <v>32</v>
      </c>
      <c r="P2621" s="1" t="s">
        <v>37</v>
      </c>
      <c r="Q2621" s="1" t="s">
        <v>16</v>
      </c>
      <c r="R2621" s="1" t="str">
        <f>IF(N2621="","",VLOOKUP(N2621,Prior_levels,2,TRUE))</f>
        <v>M</v>
      </c>
    </row>
    <row r="2622" spans="1:18" x14ac:dyDescent="0.2">
      <c r="A2622" s="1" t="s">
        <v>273</v>
      </c>
      <c r="B2622" s="1" t="s">
        <v>10</v>
      </c>
      <c r="C2622" s="2">
        <v>41155</v>
      </c>
      <c r="D2622" s="1">
        <v>10</v>
      </c>
      <c r="E2622" s="1" t="s">
        <v>42</v>
      </c>
      <c r="H2622" s="1" t="s">
        <v>54</v>
      </c>
      <c r="I2622" s="1" t="s">
        <v>12</v>
      </c>
      <c r="J2622" s="1" t="s">
        <v>43</v>
      </c>
      <c r="K2622" s="1" t="s">
        <v>274</v>
      </c>
      <c r="L2622" s="1" t="s">
        <v>12</v>
      </c>
      <c r="M2622" s="1" t="s">
        <v>12</v>
      </c>
      <c r="N2622" s="1">
        <v>27.12</v>
      </c>
      <c r="O2622" s="1" t="s">
        <v>27</v>
      </c>
      <c r="P2622" s="1" t="s">
        <v>37</v>
      </c>
      <c r="Q2622" s="1" t="s">
        <v>16</v>
      </c>
      <c r="R2622" s="1" t="str">
        <f>IF(N2622="","",VLOOKUP(N2622,Prior_levels,2,TRUE))</f>
        <v>M</v>
      </c>
    </row>
    <row r="2623" spans="1:18" x14ac:dyDescent="0.2">
      <c r="A2623" s="1" t="s">
        <v>273</v>
      </c>
      <c r="B2623" s="1" t="s">
        <v>10</v>
      </c>
      <c r="C2623" s="2">
        <v>41155</v>
      </c>
      <c r="D2623" s="1">
        <v>10</v>
      </c>
      <c r="E2623" s="1" t="s">
        <v>42</v>
      </c>
      <c r="H2623" s="1" t="s">
        <v>54</v>
      </c>
      <c r="I2623" s="1" t="s">
        <v>12</v>
      </c>
      <c r="J2623" s="1" t="s">
        <v>43</v>
      </c>
      <c r="K2623" s="1" t="s">
        <v>274</v>
      </c>
      <c r="L2623" s="1" t="s">
        <v>12</v>
      </c>
      <c r="M2623" s="1" t="s">
        <v>12</v>
      </c>
      <c r="N2623" s="1">
        <v>27.12</v>
      </c>
      <c r="O2623" s="1" t="s">
        <v>29</v>
      </c>
      <c r="P2623" s="1" t="s">
        <v>37</v>
      </c>
      <c r="Q2623" s="1" t="s">
        <v>16</v>
      </c>
      <c r="R2623" s="1" t="str">
        <f>IF(N2623="","",VLOOKUP(N2623,Prior_levels,2,TRUE))</f>
        <v>M</v>
      </c>
    </row>
    <row r="2624" spans="1:18" x14ac:dyDescent="0.2">
      <c r="A2624" s="1" t="s">
        <v>273</v>
      </c>
      <c r="B2624" s="1" t="s">
        <v>10</v>
      </c>
      <c r="C2624" s="2">
        <v>41155</v>
      </c>
      <c r="D2624" s="1">
        <v>10</v>
      </c>
      <c r="E2624" s="1" t="s">
        <v>42</v>
      </c>
      <c r="H2624" s="1" t="s">
        <v>54</v>
      </c>
      <c r="I2624" s="1" t="s">
        <v>12</v>
      </c>
      <c r="J2624" s="1" t="s">
        <v>43</v>
      </c>
      <c r="K2624" s="1" t="s">
        <v>274</v>
      </c>
      <c r="L2624" s="1" t="s">
        <v>12</v>
      </c>
      <c r="M2624" s="1" t="s">
        <v>12</v>
      </c>
      <c r="N2624" s="1">
        <v>27.12</v>
      </c>
      <c r="O2624" s="1" t="s">
        <v>30</v>
      </c>
      <c r="P2624" s="1" t="s">
        <v>37</v>
      </c>
      <c r="Q2624" s="1" t="s">
        <v>16</v>
      </c>
      <c r="R2624" s="1" t="str">
        <f>IF(N2624="","",VLOOKUP(N2624,Prior_levels,2,TRUE))</f>
        <v>M</v>
      </c>
    </row>
    <row r="2625" spans="1:18" x14ac:dyDescent="0.2">
      <c r="A2625" s="1" t="s">
        <v>273</v>
      </c>
      <c r="B2625" s="1" t="s">
        <v>10</v>
      </c>
      <c r="C2625" s="2">
        <v>41155</v>
      </c>
      <c r="D2625" s="1">
        <v>10</v>
      </c>
      <c r="E2625" s="1" t="s">
        <v>42</v>
      </c>
      <c r="H2625" s="1" t="s">
        <v>54</v>
      </c>
      <c r="I2625" s="1" t="s">
        <v>12</v>
      </c>
      <c r="J2625" s="1" t="s">
        <v>43</v>
      </c>
      <c r="K2625" s="1" t="s">
        <v>274</v>
      </c>
      <c r="L2625" s="1" t="s">
        <v>12</v>
      </c>
      <c r="M2625" s="1" t="s">
        <v>12</v>
      </c>
      <c r="N2625" s="1">
        <v>27.12</v>
      </c>
      <c r="O2625" s="1" t="s">
        <v>31</v>
      </c>
      <c r="P2625" s="1" t="s">
        <v>37</v>
      </c>
      <c r="Q2625" s="1" t="s">
        <v>16</v>
      </c>
      <c r="R2625" s="1" t="str">
        <f>IF(N2625="","",VLOOKUP(N2625,Prior_levels,2,TRUE))</f>
        <v>M</v>
      </c>
    </row>
    <row r="2626" spans="1:18" x14ac:dyDescent="0.2">
      <c r="A2626" s="1" t="s">
        <v>275</v>
      </c>
      <c r="B2626" s="1" t="s">
        <v>12</v>
      </c>
      <c r="C2626" s="2">
        <v>41155</v>
      </c>
      <c r="D2626" s="1">
        <v>10</v>
      </c>
      <c r="E2626" s="1" t="s">
        <v>47</v>
      </c>
      <c r="H2626" s="1" t="s">
        <v>48</v>
      </c>
      <c r="I2626" s="1" t="s">
        <v>12</v>
      </c>
      <c r="J2626" s="1" t="s">
        <v>43</v>
      </c>
      <c r="K2626" s="1" t="s">
        <v>14</v>
      </c>
      <c r="L2626" s="1" t="s">
        <v>12</v>
      </c>
      <c r="M2626" s="1" t="s">
        <v>12</v>
      </c>
      <c r="N2626" s="1">
        <v>30.18</v>
      </c>
      <c r="O2626" s="1" t="s">
        <v>15</v>
      </c>
      <c r="P2626" s="1">
        <v>5</v>
      </c>
      <c r="Q2626" s="1" t="s">
        <v>16</v>
      </c>
      <c r="R2626" s="1" t="str">
        <f>IF(N2626="","",VLOOKUP(N2626,Prior_levels,2,TRUE))</f>
        <v>H</v>
      </c>
    </row>
    <row r="2627" spans="1:18" x14ac:dyDescent="0.2">
      <c r="A2627" s="1" t="s">
        <v>275</v>
      </c>
      <c r="B2627" s="1" t="s">
        <v>12</v>
      </c>
      <c r="C2627" s="2">
        <v>41155</v>
      </c>
      <c r="D2627" s="1">
        <v>10</v>
      </c>
      <c r="E2627" s="1" t="s">
        <v>47</v>
      </c>
      <c r="H2627" s="1" t="s">
        <v>48</v>
      </c>
      <c r="I2627" s="1" t="s">
        <v>12</v>
      </c>
      <c r="J2627" s="1" t="s">
        <v>43</v>
      </c>
      <c r="K2627" s="1" t="s">
        <v>14</v>
      </c>
      <c r="L2627" s="1" t="s">
        <v>12</v>
      </c>
      <c r="M2627" s="1" t="s">
        <v>12</v>
      </c>
      <c r="N2627" s="1">
        <v>30.18</v>
      </c>
      <c r="O2627" s="1" t="s">
        <v>17</v>
      </c>
      <c r="P2627" s="1">
        <v>-0.59</v>
      </c>
      <c r="Q2627" s="1" t="s">
        <v>16</v>
      </c>
      <c r="R2627" s="1" t="str">
        <f>IF(N2627="","",VLOOKUP(N2627,Prior_levels,2,TRUE))</f>
        <v>H</v>
      </c>
    </row>
    <row r="2628" spans="1:18" x14ac:dyDescent="0.2">
      <c r="A2628" s="1" t="s">
        <v>275</v>
      </c>
      <c r="B2628" s="1" t="s">
        <v>12</v>
      </c>
      <c r="C2628" s="2">
        <v>41155</v>
      </c>
      <c r="D2628" s="1">
        <v>10</v>
      </c>
      <c r="E2628" s="1" t="s">
        <v>47</v>
      </c>
      <c r="H2628" s="1" t="s">
        <v>48</v>
      </c>
      <c r="I2628" s="1" t="s">
        <v>12</v>
      </c>
      <c r="J2628" s="1" t="s">
        <v>43</v>
      </c>
      <c r="K2628" s="1" t="s">
        <v>14</v>
      </c>
      <c r="L2628" s="1" t="s">
        <v>12</v>
      </c>
      <c r="M2628" s="1" t="s">
        <v>12</v>
      </c>
      <c r="N2628" s="1">
        <v>30.18</v>
      </c>
      <c r="O2628" s="1" t="s">
        <v>18</v>
      </c>
      <c r="P2628" s="1">
        <v>8</v>
      </c>
      <c r="Q2628" s="1" t="s">
        <v>16</v>
      </c>
      <c r="R2628" s="1" t="str">
        <f>IF(N2628="","",VLOOKUP(N2628,Prior_levels,2,TRUE))</f>
        <v>H</v>
      </c>
    </row>
    <row r="2629" spans="1:18" x14ac:dyDescent="0.2">
      <c r="A2629" s="1" t="s">
        <v>275</v>
      </c>
      <c r="B2629" s="1" t="s">
        <v>12</v>
      </c>
      <c r="C2629" s="2">
        <v>41155</v>
      </c>
      <c r="D2629" s="1">
        <v>10</v>
      </c>
      <c r="E2629" s="1" t="s">
        <v>47</v>
      </c>
      <c r="H2629" s="1" t="s">
        <v>48</v>
      </c>
      <c r="I2629" s="1" t="s">
        <v>12</v>
      </c>
      <c r="J2629" s="1" t="s">
        <v>43</v>
      </c>
      <c r="K2629" s="1" t="s">
        <v>14</v>
      </c>
      <c r="L2629" s="1" t="s">
        <v>12</v>
      </c>
      <c r="M2629" s="1" t="s">
        <v>12</v>
      </c>
      <c r="N2629" s="1">
        <v>30.18</v>
      </c>
      <c r="O2629" s="1" t="s">
        <v>19</v>
      </c>
      <c r="P2629" s="1">
        <v>12</v>
      </c>
      <c r="Q2629" s="1" t="s">
        <v>16</v>
      </c>
      <c r="R2629" s="1" t="str">
        <f>IF(N2629="","",VLOOKUP(N2629,Prior_levels,2,TRUE))</f>
        <v>H</v>
      </c>
    </row>
    <row r="2630" spans="1:18" x14ac:dyDescent="0.2">
      <c r="A2630" s="1" t="s">
        <v>275</v>
      </c>
      <c r="B2630" s="1" t="s">
        <v>12</v>
      </c>
      <c r="C2630" s="2">
        <v>41155</v>
      </c>
      <c r="D2630" s="1">
        <v>10</v>
      </c>
      <c r="E2630" s="1" t="s">
        <v>47</v>
      </c>
      <c r="H2630" s="1" t="s">
        <v>48</v>
      </c>
      <c r="I2630" s="1" t="s">
        <v>12</v>
      </c>
      <c r="J2630" s="1" t="s">
        <v>43</v>
      </c>
      <c r="K2630" s="1" t="s">
        <v>14</v>
      </c>
      <c r="L2630" s="1" t="s">
        <v>12</v>
      </c>
      <c r="M2630" s="1" t="s">
        <v>12</v>
      </c>
      <c r="N2630" s="1">
        <v>30.18</v>
      </c>
      <c r="O2630" s="1" t="s">
        <v>20</v>
      </c>
      <c r="P2630" s="1">
        <v>16.5</v>
      </c>
      <c r="Q2630" s="1" t="s">
        <v>16</v>
      </c>
      <c r="R2630" s="1" t="str">
        <f>IF(N2630="","",VLOOKUP(N2630,Prior_levels,2,TRUE))</f>
        <v>H</v>
      </c>
    </row>
    <row r="2631" spans="1:18" x14ac:dyDescent="0.2">
      <c r="A2631" s="1" t="s">
        <v>275</v>
      </c>
      <c r="B2631" s="1" t="s">
        <v>12</v>
      </c>
      <c r="C2631" s="2">
        <v>41155</v>
      </c>
      <c r="D2631" s="1">
        <v>10</v>
      </c>
      <c r="E2631" s="1" t="s">
        <v>47</v>
      </c>
      <c r="H2631" s="1" t="s">
        <v>48</v>
      </c>
      <c r="I2631" s="1" t="s">
        <v>12</v>
      </c>
      <c r="J2631" s="1" t="s">
        <v>43</v>
      </c>
      <c r="K2631" s="1" t="s">
        <v>14</v>
      </c>
      <c r="L2631" s="1" t="s">
        <v>12</v>
      </c>
      <c r="M2631" s="1" t="s">
        <v>12</v>
      </c>
      <c r="N2631" s="1">
        <v>30.18</v>
      </c>
      <c r="O2631" s="1" t="s">
        <v>21</v>
      </c>
      <c r="P2631" s="1">
        <v>13.5</v>
      </c>
      <c r="Q2631" s="1" t="s">
        <v>16</v>
      </c>
      <c r="R2631" s="1" t="str">
        <f>IF(N2631="","",VLOOKUP(N2631,Prior_levels,2,TRUE))</f>
        <v>H</v>
      </c>
    </row>
    <row r="2632" spans="1:18" x14ac:dyDescent="0.2">
      <c r="A2632" s="1" t="s">
        <v>275</v>
      </c>
      <c r="B2632" s="1" t="s">
        <v>12</v>
      </c>
      <c r="C2632" s="2">
        <v>41155</v>
      </c>
      <c r="D2632" s="1">
        <v>10</v>
      </c>
      <c r="E2632" s="1" t="s">
        <v>47</v>
      </c>
      <c r="H2632" s="1" t="s">
        <v>48</v>
      </c>
      <c r="I2632" s="1" t="s">
        <v>12</v>
      </c>
      <c r="J2632" s="1" t="s">
        <v>43</v>
      </c>
      <c r="K2632" s="1" t="s">
        <v>14</v>
      </c>
      <c r="L2632" s="1" t="s">
        <v>12</v>
      </c>
      <c r="M2632" s="1" t="s">
        <v>12</v>
      </c>
      <c r="N2632" s="1">
        <v>30.18</v>
      </c>
      <c r="O2632" s="1" t="s">
        <v>22</v>
      </c>
      <c r="P2632" s="1">
        <v>-1.85</v>
      </c>
      <c r="Q2632" s="1" t="s">
        <v>16</v>
      </c>
      <c r="R2632" s="1" t="str">
        <f>IF(N2632="","",VLOOKUP(N2632,Prior_levels,2,TRUE))</f>
        <v>H</v>
      </c>
    </row>
    <row r="2633" spans="1:18" x14ac:dyDescent="0.2">
      <c r="A2633" s="1" t="s">
        <v>275</v>
      </c>
      <c r="B2633" s="1" t="s">
        <v>12</v>
      </c>
      <c r="C2633" s="2">
        <v>41155</v>
      </c>
      <c r="D2633" s="1">
        <v>10</v>
      </c>
      <c r="E2633" s="1" t="s">
        <v>47</v>
      </c>
      <c r="H2633" s="1" t="s">
        <v>48</v>
      </c>
      <c r="I2633" s="1" t="s">
        <v>12</v>
      </c>
      <c r="J2633" s="1" t="s">
        <v>43</v>
      </c>
      <c r="K2633" s="1" t="s">
        <v>14</v>
      </c>
      <c r="L2633" s="1" t="s">
        <v>12</v>
      </c>
      <c r="M2633" s="1" t="s">
        <v>12</v>
      </c>
      <c r="N2633" s="1">
        <v>30.18</v>
      </c>
      <c r="O2633" s="1" t="s">
        <v>23</v>
      </c>
      <c r="P2633" s="1">
        <v>0.37</v>
      </c>
      <c r="Q2633" s="1" t="s">
        <v>16</v>
      </c>
      <c r="R2633" s="1" t="str">
        <f>IF(N2633="","",VLOOKUP(N2633,Prior_levels,2,TRUE))</f>
        <v>H</v>
      </c>
    </row>
    <row r="2634" spans="1:18" x14ac:dyDescent="0.2">
      <c r="A2634" s="1" t="s">
        <v>275</v>
      </c>
      <c r="B2634" s="1" t="s">
        <v>12</v>
      </c>
      <c r="C2634" s="2">
        <v>41155</v>
      </c>
      <c r="D2634" s="1">
        <v>10</v>
      </c>
      <c r="E2634" s="1" t="s">
        <v>47</v>
      </c>
      <c r="H2634" s="1" t="s">
        <v>48</v>
      </c>
      <c r="I2634" s="1" t="s">
        <v>12</v>
      </c>
      <c r="J2634" s="1" t="s">
        <v>43</v>
      </c>
      <c r="K2634" s="1" t="s">
        <v>14</v>
      </c>
      <c r="L2634" s="1" t="s">
        <v>12</v>
      </c>
      <c r="M2634" s="1" t="s">
        <v>12</v>
      </c>
      <c r="N2634" s="1">
        <v>30.18</v>
      </c>
      <c r="O2634" s="1" t="s">
        <v>25</v>
      </c>
      <c r="P2634" s="1">
        <v>-3.71</v>
      </c>
      <c r="Q2634" s="1" t="s">
        <v>16</v>
      </c>
      <c r="R2634" s="1" t="str">
        <f>IF(N2634="","",VLOOKUP(N2634,Prior_levels,2,TRUE))</f>
        <v>H</v>
      </c>
    </row>
    <row r="2635" spans="1:18" x14ac:dyDescent="0.2">
      <c r="A2635" s="1" t="s">
        <v>275</v>
      </c>
      <c r="B2635" s="1" t="s">
        <v>12</v>
      </c>
      <c r="C2635" s="2">
        <v>41155</v>
      </c>
      <c r="D2635" s="1">
        <v>10</v>
      </c>
      <c r="E2635" s="1" t="s">
        <v>47</v>
      </c>
      <c r="H2635" s="1" t="s">
        <v>48</v>
      </c>
      <c r="I2635" s="1" t="s">
        <v>12</v>
      </c>
      <c r="J2635" s="1" t="s">
        <v>43</v>
      </c>
      <c r="K2635" s="1" t="s">
        <v>14</v>
      </c>
      <c r="L2635" s="1" t="s">
        <v>12</v>
      </c>
      <c r="M2635" s="1" t="s">
        <v>12</v>
      </c>
      <c r="N2635" s="1">
        <v>30.18</v>
      </c>
      <c r="O2635" s="1" t="s">
        <v>26</v>
      </c>
      <c r="P2635" s="1">
        <v>6</v>
      </c>
      <c r="Q2635" s="1" t="s">
        <v>16</v>
      </c>
      <c r="R2635" s="1" t="str">
        <f>IF(N2635="","",VLOOKUP(N2635,Prior_levels,2,TRUE))</f>
        <v>H</v>
      </c>
    </row>
    <row r="2636" spans="1:18" x14ac:dyDescent="0.2">
      <c r="A2636" s="1" t="s">
        <v>275</v>
      </c>
      <c r="B2636" s="1" t="s">
        <v>12</v>
      </c>
      <c r="C2636" s="2">
        <v>41155</v>
      </c>
      <c r="D2636" s="1">
        <v>10</v>
      </c>
      <c r="E2636" s="1" t="s">
        <v>47</v>
      </c>
      <c r="H2636" s="1" t="s">
        <v>48</v>
      </c>
      <c r="I2636" s="1" t="s">
        <v>12</v>
      </c>
      <c r="J2636" s="1" t="s">
        <v>43</v>
      </c>
      <c r="K2636" s="1" t="s">
        <v>14</v>
      </c>
      <c r="L2636" s="1" t="s">
        <v>12</v>
      </c>
      <c r="M2636" s="1" t="s">
        <v>12</v>
      </c>
      <c r="N2636" s="1">
        <v>30.18</v>
      </c>
      <c r="O2636" s="1" t="s">
        <v>24</v>
      </c>
      <c r="P2636" s="1">
        <v>0.79</v>
      </c>
      <c r="Q2636" s="1" t="s">
        <v>16</v>
      </c>
      <c r="R2636" s="1" t="str">
        <f>IF(N2636="","",VLOOKUP(N2636,Prior_levels,2,TRUE))</f>
        <v>H</v>
      </c>
    </row>
    <row r="2637" spans="1:18" x14ac:dyDescent="0.2">
      <c r="A2637" s="1" t="s">
        <v>275</v>
      </c>
      <c r="B2637" s="1" t="s">
        <v>12</v>
      </c>
      <c r="C2637" s="2">
        <v>41155</v>
      </c>
      <c r="D2637" s="1">
        <v>10</v>
      </c>
      <c r="E2637" s="1" t="s">
        <v>47</v>
      </c>
      <c r="H2637" s="1" t="s">
        <v>48</v>
      </c>
      <c r="I2637" s="1" t="s">
        <v>12</v>
      </c>
      <c r="J2637" s="1" t="s">
        <v>43</v>
      </c>
      <c r="K2637" s="1" t="s">
        <v>14</v>
      </c>
      <c r="L2637" s="1" t="s">
        <v>12</v>
      </c>
      <c r="M2637" s="1" t="s">
        <v>12</v>
      </c>
      <c r="N2637" s="1">
        <v>30.18</v>
      </c>
      <c r="O2637" s="1" t="s">
        <v>27</v>
      </c>
      <c r="P2637" s="1" t="s">
        <v>37</v>
      </c>
      <c r="Q2637" s="1" t="s">
        <v>16</v>
      </c>
      <c r="R2637" s="1" t="str">
        <f>IF(N2637="","",VLOOKUP(N2637,Prior_levels,2,TRUE))</f>
        <v>H</v>
      </c>
    </row>
    <row r="2638" spans="1:18" x14ac:dyDescent="0.2">
      <c r="A2638" s="1" t="s">
        <v>275</v>
      </c>
      <c r="B2638" s="1" t="s">
        <v>12</v>
      </c>
      <c r="C2638" s="2">
        <v>41155</v>
      </c>
      <c r="D2638" s="1">
        <v>10</v>
      </c>
      <c r="E2638" s="1" t="s">
        <v>47</v>
      </c>
      <c r="H2638" s="1" t="s">
        <v>48</v>
      </c>
      <c r="I2638" s="1" t="s">
        <v>12</v>
      </c>
      <c r="J2638" s="1" t="s">
        <v>43</v>
      </c>
      <c r="K2638" s="1" t="s">
        <v>14</v>
      </c>
      <c r="L2638" s="1" t="s">
        <v>12</v>
      </c>
      <c r="M2638" s="1" t="s">
        <v>12</v>
      </c>
      <c r="N2638" s="1">
        <v>30.18</v>
      </c>
      <c r="O2638" s="1" t="s">
        <v>29</v>
      </c>
      <c r="P2638" s="1" t="s">
        <v>28</v>
      </c>
      <c r="Q2638" s="1" t="s">
        <v>16</v>
      </c>
      <c r="R2638" s="1" t="str">
        <f>IF(N2638="","",VLOOKUP(N2638,Prior_levels,2,TRUE))</f>
        <v>H</v>
      </c>
    </row>
    <row r="2639" spans="1:18" x14ac:dyDescent="0.2">
      <c r="A2639" s="1" t="s">
        <v>275</v>
      </c>
      <c r="B2639" s="1" t="s">
        <v>12</v>
      </c>
      <c r="C2639" s="2">
        <v>41155</v>
      </c>
      <c r="D2639" s="1">
        <v>10</v>
      </c>
      <c r="E2639" s="1" t="s">
        <v>47</v>
      </c>
      <c r="H2639" s="1" t="s">
        <v>48</v>
      </c>
      <c r="I2639" s="1" t="s">
        <v>12</v>
      </c>
      <c r="J2639" s="1" t="s">
        <v>43</v>
      </c>
      <c r="K2639" s="1" t="s">
        <v>14</v>
      </c>
      <c r="L2639" s="1" t="s">
        <v>12</v>
      </c>
      <c r="M2639" s="1" t="s">
        <v>12</v>
      </c>
      <c r="N2639" s="1">
        <v>30.18</v>
      </c>
      <c r="O2639" s="1" t="s">
        <v>30</v>
      </c>
      <c r="P2639" s="1" t="s">
        <v>28</v>
      </c>
      <c r="Q2639" s="1" t="s">
        <v>16</v>
      </c>
      <c r="R2639" s="1" t="str">
        <f>IF(N2639="","",VLOOKUP(N2639,Prior_levels,2,TRUE))</f>
        <v>H</v>
      </c>
    </row>
    <row r="2640" spans="1:18" x14ac:dyDescent="0.2">
      <c r="A2640" s="1" t="s">
        <v>275</v>
      </c>
      <c r="B2640" s="1" t="s">
        <v>12</v>
      </c>
      <c r="C2640" s="2">
        <v>41155</v>
      </c>
      <c r="D2640" s="1">
        <v>10</v>
      </c>
      <c r="E2640" s="1" t="s">
        <v>47</v>
      </c>
      <c r="H2640" s="1" t="s">
        <v>48</v>
      </c>
      <c r="I2640" s="1" t="s">
        <v>12</v>
      </c>
      <c r="J2640" s="1" t="s">
        <v>43</v>
      </c>
      <c r="K2640" s="1" t="s">
        <v>14</v>
      </c>
      <c r="L2640" s="1" t="s">
        <v>12</v>
      </c>
      <c r="M2640" s="1" t="s">
        <v>12</v>
      </c>
      <c r="N2640" s="1">
        <v>30.18</v>
      </c>
      <c r="O2640" s="1" t="s">
        <v>31</v>
      </c>
      <c r="P2640" s="1" t="s">
        <v>28</v>
      </c>
      <c r="Q2640" s="1" t="s">
        <v>16</v>
      </c>
      <c r="R2640" s="1" t="str">
        <f>IF(N2640="","",VLOOKUP(N2640,Prior_levels,2,TRUE))</f>
        <v>H</v>
      </c>
    </row>
    <row r="2641" spans="1:18" x14ac:dyDescent="0.2">
      <c r="A2641" s="1" t="s">
        <v>275</v>
      </c>
      <c r="B2641" s="1" t="s">
        <v>12</v>
      </c>
      <c r="C2641" s="2">
        <v>41155</v>
      </c>
      <c r="D2641" s="1">
        <v>10</v>
      </c>
      <c r="E2641" s="1" t="s">
        <v>47</v>
      </c>
      <c r="H2641" s="1" t="s">
        <v>48</v>
      </c>
      <c r="I2641" s="1" t="s">
        <v>12</v>
      </c>
      <c r="J2641" s="1" t="s">
        <v>43</v>
      </c>
      <c r="K2641" s="1" t="s">
        <v>14</v>
      </c>
      <c r="L2641" s="1" t="s">
        <v>12</v>
      </c>
      <c r="M2641" s="1" t="s">
        <v>12</v>
      </c>
      <c r="N2641" s="1">
        <v>30.18</v>
      </c>
      <c r="O2641" s="1" t="s">
        <v>32</v>
      </c>
      <c r="P2641" s="1" t="s">
        <v>28</v>
      </c>
      <c r="Q2641" s="1" t="s">
        <v>16</v>
      </c>
      <c r="R2641" s="1" t="str">
        <f>IF(N2641="","",VLOOKUP(N2641,Prior_levels,2,TRUE))</f>
        <v>H</v>
      </c>
    </row>
    <row r="2642" spans="1:18" x14ac:dyDescent="0.2">
      <c r="A2642" s="1" t="s">
        <v>276</v>
      </c>
      <c r="B2642" s="1" t="s">
        <v>10</v>
      </c>
      <c r="C2642" s="2">
        <v>41155</v>
      </c>
      <c r="D2642" s="1">
        <v>10</v>
      </c>
      <c r="E2642" s="1" t="s">
        <v>34</v>
      </c>
      <c r="H2642" s="1" t="s">
        <v>54</v>
      </c>
      <c r="I2642" s="1" t="s">
        <v>12</v>
      </c>
      <c r="J2642" s="1" t="s">
        <v>43</v>
      </c>
      <c r="K2642" s="1" t="s">
        <v>14</v>
      </c>
      <c r="L2642" s="1" t="s">
        <v>12</v>
      </c>
      <c r="M2642" s="1" t="s">
        <v>12</v>
      </c>
      <c r="N2642" s="1">
        <v>33.18</v>
      </c>
      <c r="O2642" s="1" t="s">
        <v>15</v>
      </c>
      <c r="P2642" s="1">
        <v>5.3</v>
      </c>
      <c r="Q2642" s="1" t="s">
        <v>16</v>
      </c>
      <c r="R2642" s="1" t="str">
        <f>IF(N2642="","",VLOOKUP(N2642,Prior_levels,2,TRUE))</f>
        <v>H</v>
      </c>
    </row>
    <row r="2643" spans="1:18" x14ac:dyDescent="0.2">
      <c r="A2643" s="1" t="s">
        <v>276</v>
      </c>
      <c r="B2643" s="1" t="s">
        <v>10</v>
      </c>
      <c r="C2643" s="2">
        <v>41155</v>
      </c>
      <c r="D2643" s="1">
        <v>10</v>
      </c>
      <c r="E2643" s="1" t="s">
        <v>34</v>
      </c>
      <c r="H2643" s="1" t="s">
        <v>54</v>
      </c>
      <c r="I2643" s="1" t="s">
        <v>12</v>
      </c>
      <c r="J2643" s="1" t="s">
        <v>43</v>
      </c>
      <c r="K2643" s="1" t="s">
        <v>14</v>
      </c>
      <c r="L2643" s="1" t="s">
        <v>12</v>
      </c>
      <c r="M2643" s="1" t="s">
        <v>12</v>
      </c>
      <c r="N2643" s="1">
        <v>33.18</v>
      </c>
      <c r="O2643" s="1" t="s">
        <v>17</v>
      </c>
      <c r="P2643" s="1">
        <v>-1.25</v>
      </c>
      <c r="Q2643" s="1" t="s">
        <v>16</v>
      </c>
      <c r="R2643" s="1" t="str">
        <f>IF(N2643="","",VLOOKUP(N2643,Prior_levels,2,TRUE))</f>
        <v>H</v>
      </c>
    </row>
    <row r="2644" spans="1:18" x14ac:dyDescent="0.2">
      <c r="A2644" s="1" t="s">
        <v>276</v>
      </c>
      <c r="B2644" s="1" t="s">
        <v>10</v>
      </c>
      <c r="C2644" s="2">
        <v>41155</v>
      </c>
      <c r="D2644" s="1">
        <v>10</v>
      </c>
      <c r="E2644" s="1" t="s">
        <v>34</v>
      </c>
      <c r="H2644" s="1" t="s">
        <v>54</v>
      </c>
      <c r="I2644" s="1" t="s">
        <v>12</v>
      </c>
      <c r="J2644" s="1" t="s">
        <v>43</v>
      </c>
      <c r="K2644" s="1" t="s">
        <v>14</v>
      </c>
      <c r="L2644" s="1" t="s">
        <v>12</v>
      </c>
      <c r="M2644" s="1" t="s">
        <v>12</v>
      </c>
      <c r="N2644" s="1">
        <v>33.18</v>
      </c>
      <c r="O2644" s="1" t="s">
        <v>18</v>
      </c>
      <c r="P2644" s="1">
        <v>8</v>
      </c>
      <c r="Q2644" s="1" t="s">
        <v>16</v>
      </c>
      <c r="R2644" s="1" t="str">
        <f>IF(N2644="","",VLOOKUP(N2644,Prior_levels,2,TRUE))</f>
        <v>H</v>
      </c>
    </row>
    <row r="2645" spans="1:18" x14ac:dyDescent="0.2">
      <c r="A2645" s="1" t="s">
        <v>276</v>
      </c>
      <c r="B2645" s="1" t="s">
        <v>10</v>
      </c>
      <c r="C2645" s="2">
        <v>41155</v>
      </c>
      <c r="D2645" s="1">
        <v>10</v>
      </c>
      <c r="E2645" s="1" t="s">
        <v>34</v>
      </c>
      <c r="H2645" s="1" t="s">
        <v>54</v>
      </c>
      <c r="I2645" s="1" t="s">
        <v>12</v>
      </c>
      <c r="J2645" s="1" t="s">
        <v>43</v>
      </c>
      <c r="K2645" s="1" t="s">
        <v>14</v>
      </c>
      <c r="L2645" s="1" t="s">
        <v>12</v>
      </c>
      <c r="M2645" s="1" t="s">
        <v>12</v>
      </c>
      <c r="N2645" s="1">
        <v>33.18</v>
      </c>
      <c r="O2645" s="1" t="s">
        <v>19</v>
      </c>
      <c r="P2645" s="1">
        <v>12</v>
      </c>
      <c r="Q2645" s="1" t="s">
        <v>16</v>
      </c>
      <c r="R2645" s="1" t="str">
        <f>IF(N2645="","",VLOOKUP(N2645,Prior_levels,2,TRUE))</f>
        <v>H</v>
      </c>
    </row>
    <row r="2646" spans="1:18" x14ac:dyDescent="0.2">
      <c r="A2646" s="1" t="s">
        <v>276</v>
      </c>
      <c r="B2646" s="1" t="s">
        <v>10</v>
      </c>
      <c r="C2646" s="2">
        <v>41155</v>
      </c>
      <c r="D2646" s="1">
        <v>10</v>
      </c>
      <c r="E2646" s="1" t="s">
        <v>34</v>
      </c>
      <c r="H2646" s="1" t="s">
        <v>54</v>
      </c>
      <c r="I2646" s="1" t="s">
        <v>12</v>
      </c>
      <c r="J2646" s="1" t="s">
        <v>43</v>
      </c>
      <c r="K2646" s="1" t="s">
        <v>14</v>
      </c>
      <c r="L2646" s="1" t="s">
        <v>12</v>
      </c>
      <c r="M2646" s="1" t="s">
        <v>12</v>
      </c>
      <c r="N2646" s="1">
        <v>33.18</v>
      </c>
      <c r="O2646" s="1" t="s">
        <v>20</v>
      </c>
      <c r="P2646" s="1">
        <v>16.5</v>
      </c>
      <c r="Q2646" s="1" t="s">
        <v>16</v>
      </c>
      <c r="R2646" s="1" t="str">
        <f>IF(N2646="","",VLOOKUP(N2646,Prior_levels,2,TRUE))</f>
        <v>H</v>
      </c>
    </row>
    <row r="2647" spans="1:18" x14ac:dyDescent="0.2">
      <c r="A2647" s="1" t="s">
        <v>276</v>
      </c>
      <c r="B2647" s="1" t="s">
        <v>10</v>
      </c>
      <c r="C2647" s="2">
        <v>41155</v>
      </c>
      <c r="D2647" s="1">
        <v>10</v>
      </c>
      <c r="E2647" s="1" t="s">
        <v>34</v>
      </c>
      <c r="H2647" s="1" t="s">
        <v>54</v>
      </c>
      <c r="I2647" s="1" t="s">
        <v>12</v>
      </c>
      <c r="J2647" s="1" t="s">
        <v>43</v>
      </c>
      <c r="K2647" s="1" t="s">
        <v>14</v>
      </c>
      <c r="L2647" s="1" t="s">
        <v>12</v>
      </c>
      <c r="M2647" s="1" t="s">
        <v>12</v>
      </c>
      <c r="N2647" s="1">
        <v>33.18</v>
      </c>
      <c r="O2647" s="1" t="s">
        <v>21</v>
      </c>
      <c r="P2647" s="1">
        <v>16.5</v>
      </c>
      <c r="Q2647" s="1" t="s">
        <v>16</v>
      </c>
      <c r="R2647" s="1" t="str">
        <f>IF(N2647="","",VLOOKUP(N2647,Prior_levels,2,TRUE))</f>
        <v>H</v>
      </c>
    </row>
    <row r="2648" spans="1:18" x14ac:dyDescent="0.2">
      <c r="A2648" s="1" t="s">
        <v>276</v>
      </c>
      <c r="B2648" s="1" t="s">
        <v>10</v>
      </c>
      <c r="C2648" s="2">
        <v>41155</v>
      </c>
      <c r="D2648" s="1">
        <v>10</v>
      </c>
      <c r="E2648" s="1" t="s">
        <v>34</v>
      </c>
      <c r="H2648" s="1" t="s">
        <v>54</v>
      </c>
      <c r="I2648" s="1" t="s">
        <v>12</v>
      </c>
      <c r="J2648" s="1" t="s">
        <v>43</v>
      </c>
      <c r="K2648" s="1" t="s">
        <v>14</v>
      </c>
      <c r="L2648" s="1" t="s">
        <v>12</v>
      </c>
      <c r="M2648" s="1" t="s">
        <v>12</v>
      </c>
      <c r="N2648" s="1">
        <v>33.18</v>
      </c>
      <c r="O2648" s="1" t="s">
        <v>22</v>
      </c>
      <c r="P2648" s="1">
        <v>-2.64</v>
      </c>
      <c r="Q2648" s="1" t="s">
        <v>16</v>
      </c>
      <c r="R2648" s="1" t="str">
        <f>IF(N2648="","",VLOOKUP(N2648,Prior_levels,2,TRUE))</f>
        <v>H</v>
      </c>
    </row>
    <row r="2649" spans="1:18" x14ac:dyDescent="0.2">
      <c r="A2649" s="1" t="s">
        <v>276</v>
      </c>
      <c r="B2649" s="1" t="s">
        <v>10</v>
      </c>
      <c r="C2649" s="2">
        <v>41155</v>
      </c>
      <c r="D2649" s="1">
        <v>10</v>
      </c>
      <c r="E2649" s="1" t="s">
        <v>34</v>
      </c>
      <c r="H2649" s="1" t="s">
        <v>54</v>
      </c>
      <c r="I2649" s="1" t="s">
        <v>12</v>
      </c>
      <c r="J2649" s="1" t="s">
        <v>43</v>
      </c>
      <c r="K2649" s="1" t="s">
        <v>14</v>
      </c>
      <c r="L2649" s="1" t="s">
        <v>12</v>
      </c>
      <c r="M2649" s="1" t="s">
        <v>12</v>
      </c>
      <c r="N2649" s="1">
        <v>33.18</v>
      </c>
      <c r="O2649" s="1" t="s">
        <v>23</v>
      </c>
      <c r="P2649" s="1">
        <v>-0.66</v>
      </c>
      <c r="Q2649" s="1" t="s">
        <v>16</v>
      </c>
      <c r="R2649" s="1" t="str">
        <f>IF(N2649="","",VLOOKUP(N2649,Prior_levels,2,TRUE))</f>
        <v>H</v>
      </c>
    </row>
    <row r="2650" spans="1:18" x14ac:dyDescent="0.2">
      <c r="A2650" s="1" t="s">
        <v>276</v>
      </c>
      <c r="B2650" s="1" t="s">
        <v>10</v>
      </c>
      <c r="C2650" s="2">
        <v>41155</v>
      </c>
      <c r="D2650" s="1">
        <v>10</v>
      </c>
      <c r="E2650" s="1" t="s">
        <v>34</v>
      </c>
      <c r="H2650" s="1" t="s">
        <v>54</v>
      </c>
      <c r="I2650" s="1" t="s">
        <v>12</v>
      </c>
      <c r="J2650" s="1" t="s">
        <v>43</v>
      </c>
      <c r="K2650" s="1" t="s">
        <v>14</v>
      </c>
      <c r="L2650" s="1" t="s">
        <v>12</v>
      </c>
      <c r="M2650" s="1" t="s">
        <v>12</v>
      </c>
      <c r="N2650" s="1">
        <v>33.18</v>
      </c>
      <c r="O2650" s="1" t="s">
        <v>24</v>
      </c>
      <c r="P2650" s="1">
        <v>-2.77</v>
      </c>
      <c r="Q2650" s="1" t="s">
        <v>16</v>
      </c>
      <c r="R2650" s="1" t="str">
        <f>IF(N2650="","",VLOOKUP(N2650,Prior_levels,2,TRUE))</f>
        <v>H</v>
      </c>
    </row>
    <row r="2651" spans="1:18" x14ac:dyDescent="0.2">
      <c r="A2651" s="1" t="s">
        <v>276</v>
      </c>
      <c r="B2651" s="1" t="s">
        <v>10</v>
      </c>
      <c r="C2651" s="2">
        <v>41155</v>
      </c>
      <c r="D2651" s="1">
        <v>10</v>
      </c>
      <c r="E2651" s="1" t="s">
        <v>34</v>
      </c>
      <c r="H2651" s="1" t="s">
        <v>54</v>
      </c>
      <c r="I2651" s="1" t="s">
        <v>12</v>
      </c>
      <c r="J2651" s="1" t="s">
        <v>43</v>
      </c>
      <c r="K2651" s="1" t="s">
        <v>14</v>
      </c>
      <c r="L2651" s="1" t="s">
        <v>12</v>
      </c>
      <c r="M2651" s="1" t="s">
        <v>12</v>
      </c>
      <c r="N2651" s="1">
        <v>33.18</v>
      </c>
      <c r="O2651" s="1" t="s">
        <v>25</v>
      </c>
      <c r="P2651" s="1">
        <v>-3.12</v>
      </c>
      <c r="Q2651" s="1" t="s">
        <v>16</v>
      </c>
      <c r="R2651" s="1" t="str">
        <f>IF(N2651="","",VLOOKUP(N2651,Prior_levels,2,TRUE))</f>
        <v>H</v>
      </c>
    </row>
    <row r="2652" spans="1:18" x14ac:dyDescent="0.2">
      <c r="A2652" s="1" t="s">
        <v>276</v>
      </c>
      <c r="B2652" s="1" t="s">
        <v>10</v>
      </c>
      <c r="C2652" s="2">
        <v>41155</v>
      </c>
      <c r="D2652" s="1">
        <v>10</v>
      </c>
      <c r="E2652" s="1" t="s">
        <v>34</v>
      </c>
      <c r="H2652" s="1" t="s">
        <v>54</v>
      </c>
      <c r="I2652" s="1" t="s">
        <v>12</v>
      </c>
      <c r="J2652" s="1" t="s">
        <v>43</v>
      </c>
      <c r="K2652" s="1" t="s">
        <v>14</v>
      </c>
      <c r="L2652" s="1" t="s">
        <v>12</v>
      </c>
      <c r="M2652" s="1" t="s">
        <v>12</v>
      </c>
      <c r="N2652" s="1">
        <v>33.18</v>
      </c>
      <c r="O2652" s="1" t="s">
        <v>26</v>
      </c>
      <c r="P2652" s="1">
        <v>7</v>
      </c>
      <c r="Q2652" s="1" t="s">
        <v>16</v>
      </c>
      <c r="R2652" s="1" t="str">
        <f>IF(N2652="","",VLOOKUP(N2652,Prior_levels,2,TRUE))</f>
        <v>H</v>
      </c>
    </row>
    <row r="2653" spans="1:18" x14ac:dyDescent="0.2">
      <c r="A2653" s="1" t="s">
        <v>276</v>
      </c>
      <c r="B2653" s="1" t="s">
        <v>10</v>
      </c>
      <c r="C2653" s="2">
        <v>41155</v>
      </c>
      <c r="D2653" s="1">
        <v>10</v>
      </c>
      <c r="E2653" s="1" t="s">
        <v>34</v>
      </c>
      <c r="H2653" s="1" t="s">
        <v>54</v>
      </c>
      <c r="I2653" s="1" t="s">
        <v>12</v>
      </c>
      <c r="J2653" s="1" t="s">
        <v>43</v>
      </c>
      <c r="K2653" s="1" t="s">
        <v>14</v>
      </c>
      <c r="L2653" s="1" t="s">
        <v>12</v>
      </c>
      <c r="M2653" s="1" t="s">
        <v>12</v>
      </c>
      <c r="N2653" s="1">
        <v>33.18</v>
      </c>
      <c r="O2653" s="1" t="s">
        <v>27</v>
      </c>
      <c r="P2653" s="1" t="s">
        <v>37</v>
      </c>
      <c r="Q2653" s="1" t="s">
        <v>16</v>
      </c>
      <c r="R2653" s="1" t="str">
        <f>IF(N2653="","",VLOOKUP(N2653,Prior_levels,2,TRUE))</f>
        <v>H</v>
      </c>
    </row>
    <row r="2654" spans="1:18" x14ac:dyDescent="0.2">
      <c r="A2654" s="1" t="s">
        <v>276</v>
      </c>
      <c r="B2654" s="1" t="s">
        <v>10</v>
      </c>
      <c r="C2654" s="2">
        <v>41155</v>
      </c>
      <c r="D2654" s="1">
        <v>10</v>
      </c>
      <c r="E2654" s="1" t="s">
        <v>34</v>
      </c>
      <c r="H2654" s="1" t="s">
        <v>54</v>
      </c>
      <c r="I2654" s="1" t="s">
        <v>12</v>
      </c>
      <c r="J2654" s="1" t="s">
        <v>43</v>
      </c>
      <c r="K2654" s="1" t="s">
        <v>14</v>
      </c>
      <c r="L2654" s="1" t="s">
        <v>12</v>
      </c>
      <c r="M2654" s="1" t="s">
        <v>12</v>
      </c>
      <c r="N2654" s="1">
        <v>33.18</v>
      </c>
      <c r="O2654" s="1" t="s">
        <v>29</v>
      </c>
      <c r="P2654" s="1" t="s">
        <v>28</v>
      </c>
      <c r="Q2654" s="1" t="s">
        <v>16</v>
      </c>
      <c r="R2654" s="1" t="str">
        <f>IF(N2654="","",VLOOKUP(N2654,Prior_levels,2,TRUE))</f>
        <v>H</v>
      </c>
    </row>
    <row r="2655" spans="1:18" x14ac:dyDescent="0.2">
      <c r="A2655" s="1" t="s">
        <v>276</v>
      </c>
      <c r="B2655" s="1" t="s">
        <v>10</v>
      </c>
      <c r="C2655" s="2">
        <v>41155</v>
      </c>
      <c r="D2655" s="1">
        <v>10</v>
      </c>
      <c r="E2655" s="1" t="s">
        <v>34</v>
      </c>
      <c r="H2655" s="1" t="s">
        <v>54</v>
      </c>
      <c r="I2655" s="1" t="s">
        <v>12</v>
      </c>
      <c r="J2655" s="1" t="s">
        <v>43</v>
      </c>
      <c r="K2655" s="1" t="s">
        <v>14</v>
      </c>
      <c r="L2655" s="1" t="s">
        <v>12</v>
      </c>
      <c r="M2655" s="1" t="s">
        <v>12</v>
      </c>
      <c r="N2655" s="1">
        <v>33.18</v>
      </c>
      <c r="O2655" s="1" t="s">
        <v>30</v>
      </c>
      <c r="P2655" s="1" t="s">
        <v>28</v>
      </c>
      <c r="Q2655" s="1" t="s">
        <v>16</v>
      </c>
      <c r="R2655" s="1" t="str">
        <f>IF(N2655="","",VLOOKUP(N2655,Prior_levels,2,TRUE))</f>
        <v>H</v>
      </c>
    </row>
    <row r="2656" spans="1:18" x14ac:dyDescent="0.2">
      <c r="A2656" s="1" t="s">
        <v>276</v>
      </c>
      <c r="B2656" s="1" t="s">
        <v>10</v>
      </c>
      <c r="C2656" s="2">
        <v>41155</v>
      </c>
      <c r="D2656" s="1">
        <v>10</v>
      </c>
      <c r="E2656" s="1" t="s">
        <v>34</v>
      </c>
      <c r="H2656" s="1" t="s">
        <v>54</v>
      </c>
      <c r="I2656" s="1" t="s">
        <v>12</v>
      </c>
      <c r="J2656" s="1" t="s">
        <v>43</v>
      </c>
      <c r="K2656" s="1" t="s">
        <v>14</v>
      </c>
      <c r="L2656" s="1" t="s">
        <v>12</v>
      </c>
      <c r="M2656" s="1" t="s">
        <v>12</v>
      </c>
      <c r="N2656" s="1">
        <v>33.18</v>
      </c>
      <c r="O2656" s="1" t="s">
        <v>31</v>
      </c>
      <c r="P2656" s="1" t="s">
        <v>28</v>
      </c>
      <c r="Q2656" s="1" t="s">
        <v>16</v>
      </c>
      <c r="R2656" s="1" t="str">
        <f>IF(N2656="","",VLOOKUP(N2656,Prior_levels,2,TRUE))</f>
        <v>H</v>
      </c>
    </row>
    <row r="2657" spans="1:18" x14ac:dyDescent="0.2">
      <c r="A2657" s="1" t="s">
        <v>276</v>
      </c>
      <c r="B2657" s="1" t="s">
        <v>10</v>
      </c>
      <c r="C2657" s="2">
        <v>41155</v>
      </c>
      <c r="D2657" s="1">
        <v>10</v>
      </c>
      <c r="E2657" s="1" t="s">
        <v>34</v>
      </c>
      <c r="H2657" s="1" t="s">
        <v>54</v>
      </c>
      <c r="I2657" s="1" t="s">
        <v>12</v>
      </c>
      <c r="J2657" s="1" t="s">
        <v>43</v>
      </c>
      <c r="K2657" s="1" t="s">
        <v>14</v>
      </c>
      <c r="L2657" s="1" t="s">
        <v>12</v>
      </c>
      <c r="M2657" s="1" t="s">
        <v>12</v>
      </c>
      <c r="N2657" s="1">
        <v>33.18</v>
      </c>
      <c r="O2657" s="1" t="s">
        <v>32</v>
      </c>
      <c r="P2657" s="1" t="s">
        <v>28</v>
      </c>
      <c r="Q2657" s="1" t="s">
        <v>16</v>
      </c>
      <c r="R2657" s="1" t="str">
        <f>IF(N2657="","",VLOOKUP(N2657,Prior_levels,2,TRUE))</f>
        <v>H</v>
      </c>
    </row>
    <row r="2658" spans="1:18" x14ac:dyDescent="0.2">
      <c r="A2658" s="1" t="s">
        <v>277</v>
      </c>
      <c r="B2658" s="1" t="s">
        <v>12</v>
      </c>
      <c r="C2658" s="2">
        <v>41155</v>
      </c>
      <c r="D2658" s="1">
        <v>10</v>
      </c>
      <c r="E2658" s="1" t="s">
        <v>11</v>
      </c>
      <c r="I2658" s="1" t="s">
        <v>12</v>
      </c>
      <c r="J2658" s="1" t="s">
        <v>40</v>
      </c>
      <c r="K2658" s="1" t="s">
        <v>14</v>
      </c>
      <c r="L2658" s="1" t="s">
        <v>12</v>
      </c>
      <c r="M2658" s="1" t="s">
        <v>12</v>
      </c>
      <c r="N2658" s="1">
        <v>24.12</v>
      </c>
      <c r="O2658" s="1" t="s">
        <v>15</v>
      </c>
      <c r="P2658" s="1">
        <v>3.5</v>
      </c>
      <c r="Q2658" s="1" t="s">
        <v>16</v>
      </c>
      <c r="R2658" s="1" t="str">
        <f>IF(N2658="","",VLOOKUP(N2658,Prior_levels,2,TRUE))</f>
        <v>M</v>
      </c>
    </row>
    <row r="2659" spans="1:18" x14ac:dyDescent="0.2">
      <c r="A2659" s="1" t="s">
        <v>277</v>
      </c>
      <c r="B2659" s="1" t="s">
        <v>12</v>
      </c>
      <c r="C2659" s="2">
        <v>41155</v>
      </c>
      <c r="D2659" s="1">
        <v>10</v>
      </c>
      <c r="E2659" s="1" t="s">
        <v>11</v>
      </c>
      <c r="I2659" s="1" t="s">
        <v>12</v>
      </c>
      <c r="J2659" s="1" t="s">
        <v>40</v>
      </c>
      <c r="K2659" s="1" t="s">
        <v>14</v>
      </c>
      <c r="L2659" s="1" t="s">
        <v>12</v>
      </c>
      <c r="M2659" s="1" t="s">
        <v>12</v>
      </c>
      <c r="N2659" s="1">
        <v>24.12</v>
      </c>
      <c r="O2659" s="1" t="s">
        <v>17</v>
      </c>
      <c r="P2659" s="1">
        <v>-0.11</v>
      </c>
      <c r="Q2659" s="1" t="s">
        <v>16</v>
      </c>
      <c r="R2659" s="1" t="str">
        <f>IF(N2659="","",VLOOKUP(N2659,Prior_levels,2,TRUE))</f>
        <v>M</v>
      </c>
    </row>
    <row r="2660" spans="1:18" x14ac:dyDescent="0.2">
      <c r="A2660" s="1" t="s">
        <v>277</v>
      </c>
      <c r="B2660" s="1" t="s">
        <v>12</v>
      </c>
      <c r="C2660" s="2">
        <v>41155</v>
      </c>
      <c r="D2660" s="1">
        <v>10</v>
      </c>
      <c r="E2660" s="1" t="s">
        <v>11</v>
      </c>
      <c r="I2660" s="1" t="s">
        <v>12</v>
      </c>
      <c r="J2660" s="1" t="s">
        <v>40</v>
      </c>
      <c r="K2660" s="1" t="s">
        <v>14</v>
      </c>
      <c r="L2660" s="1" t="s">
        <v>12</v>
      </c>
      <c r="M2660" s="1" t="s">
        <v>12</v>
      </c>
      <c r="N2660" s="1">
        <v>24.12</v>
      </c>
      <c r="O2660" s="1" t="s">
        <v>18</v>
      </c>
      <c r="P2660" s="1">
        <v>8</v>
      </c>
      <c r="Q2660" s="1" t="s">
        <v>16</v>
      </c>
      <c r="R2660" s="1" t="str">
        <f>IF(N2660="","",VLOOKUP(N2660,Prior_levels,2,TRUE))</f>
        <v>M</v>
      </c>
    </row>
    <row r="2661" spans="1:18" x14ac:dyDescent="0.2">
      <c r="A2661" s="1" t="s">
        <v>277</v>
      </c>
      <c r="B2661" s="1" t="s">
        <v>12</v>
      </c>
      <c r="C2661" s="2">
        <v>41155</v>
      </c>
      <c r="D2661" s="1">
        <v>10</v>
      </c>
      <c r="E2661" s="1" t="s">
        <v>11</v>
      </c>
      <c r="I2661" s="1" t="s">
        <v>12</v>
      </c>
      <c r="J2661" s="1" t="s">
        <v>40</v>
      </c>
      <c r="K2661" s="1" t="s">
        <v>14</v>
      </c>
      <c r="L2661" s="1" t="s">
        <v>12</v>
      </c>
      <c r="M2661" s="1" t="s">
        <v>12</v>
      </c>
      <c r="N2661" s="1">
        <v>24.12</v>
      </c>
      <c r="O2661" s="1" t="s">
        <v>19</v>
      </c>
      <c r="P2661" s="1">
        <v>8</v>
      </c>
      <c r="Q2661" s="1" t="s">
        <v>16</v>
      </c>
      <c r="R2661" s="1" t="str">
        <f>IF(N2661="","",VLOOKUP(N2661,Prior_levels,2,TRUE))</f>
        <v>M</v>
      </c>
    </row>
    <row r="2662" spans="1:18" x14ac:dyDescent="0.2">
      <c r="A2662" s="1" t="s">
        <v>277</v>
      </c>
      <c r="B2662" s="1" t="s">
        <v>12</v>
      </c>
      <c r="C2662" s="2">
        <v>41155</v>
      </c>
      <c r="D2662" s="1">
        <v>10</v>
      </c>
      <c r="E2662" s="1" t="s">
        <v>11</v>
      </c>
      <c r="I2662" s="1" t="s">
        <v>12</v>
      </c>
      <c r="J2662" s="1" t="s">
        <v>40</v>
      </c>
      <c r="K2662" s="1" t="s">
        <v>14</v>
      </c>
      <c r="L2662" s="1" t="s">
        <v>12</v>
      </c>
      <c r="M2662" s="1" t="s">
        <v>12</v>
      </c>
      <c r="N2662" s="1">
        <v>24.12</v>
      </c>
      <c r="O2662" s="1" t="s">
        <v>20</v>
      </c>
      <c r="P2662" s="1">
        <v>9</v>
      </c>
      <c r="Q2662" s="1" t="s">
        <v>16</v>
      </c>
      <c r="R2662" s="1" t="str">
        <f>IF(N2662="","",VLOOKUP(N2662,Prior_levels,2,TRUE))</f>
        <v>M</v>
      </c>
    </row>
    <row r="2663" spans="1:18" x14ac:dyDescent="0.2">
      <c r="A2663" s="1" t="s">
        <v>277</v>
      </c>
      <c r="B2663" s="1" t="s">
        <v>12</v>
      </c>
      <c r="C2663" s="2">
        <v>41155</v>
      </c>
      <c r="D2663" s="1">
        <v>10</v>
      </c>
      <c r="E2663" s="1" t="s">
        <v>11</v>
      </c>
      <c r="I2663" s="1" t="s">
        <v>12</v>
      </c>
      <c r="J2663" s="1" t="s">
        <v>40</v>
      </c>
      <c r="K2663" s="1" t="s">
        <v>14</v>
      </c>
      <c r="L2663" s="1" t="s">
        <v>12</v>
      </c>
      <c r="M2663" s="1" t="s">
        <v>12</v>
      </c>
      <c r="N2663" s="1">
        <v>24.12</v>
      </c>
      <c r="O2663" s="1" t="s">
        <v>21</v>
      </c>
      <c r="P2663" s="1">
        <v>10</v>
      </c>
      <c r="Q2663" s="1" t="s">
        <v>16</v>
      </c>
      <c r="R2663" s="1" t="str">
        <f>IF(N2663="","",VLOOKUP(N2663,Prior_levels,2,TRUE))</f>
        <v>M</v>
      </c>
    </row>
    <row r="2664" spans="1:18" x14ac:dyDescent="0.2">
      <c r="A2664" s="1" t="s">
        <v>277</v>
      </c>
      <c r="B2664" s="1" t="s">
        <v>12</v>
      </c>
      <c r="C2664" s="2">
        <v>41155</v>
      </c>
      <c r="D2664" s="1">
        <v>10</v>
      </c>
      <c r="E2664" s="1" t="s">
        <v>11</v>
      </c>
      <c r="I2664" s="1" t="s">
        <v>12</v>
      </c>
      <c r="J2664" s="1" t="s">
        <v>40</v>
      </c>
      <c r="K2664" s="1" t="s">
        <v>14</v>
      </c>
      <c r="L2664" s="1" t="s">
        <v>12</v>
      </c>
      <c r="M2664" s="1" t="s">
        <v>12</v>
      </c>
      <c r="N2664" s="1">
        <v>24.12</v>
      </c>
      <c r="O2664" s="1" t="s">
        <v>22</v>
      </c>
      <c r="P2664" s="1">
        <v>-0.32</v>
      </c>
      <c r="Q2664" s="1" t="s">
        <v>16</v>
      </c>
      <c r="R2664" s="1" t="str">
        <f>IF(N2664="","",VLOOKUP(N2664,Prior_levels,2,TRUE))</f>
        <v>M</v>
      </c>
    </row>
    <row r="2665" spans="1:18" x14ac:dyDescent="0.2">
      <c r="A2665" s="1" t="s">
        <v>277</v>
      </c>
      <c r="B2665" s="1" t="s">
        <v>12</v>
      </c>
      <c r="C2665" s="2">
        <v>41155</v>
      </c>
      <c r="D2665" s="1">
        <v>10</v>
      </c>
      <c r="E2665" s="1" t="s">
        <v>11</v>
      </c>
      <c r="I2665" s="1" t="s">
        <v>12</v>
      </c>
      <c r="J2665" s="1" t="s">
        <v>40</v>
      </c>
      <c r="K2665" s="1" t="s">
        <v>14</v>
      </c>
      <c r="L2665" s="1" t="s">
        <v>12</v>
      </c>
      <c r="M2665" s="1" t="s">
        <v>12</v>
      </c>
      <c r="N2665" s="1">
        <v>24.12</v>
      </c>
      <c r="O2665" s="1" t="s">
        <v>23</v>
      </c>
      <c r="P2665" s="1">
        <v>0.34</v>
      </c>
      <c r="Q2665" s="1" t="s">
        <v>16</v>
      </c>
      <c r="R2665" s="1" t="str">
        <f>IF(N2665="","",VLOOKUP(N2665,Prior_levels,2,TRUE))</f>
        <v>M</v>
      </c>
    </row>
    <row r="2666" spans="1:18" x14ac:dyDescent="0.2">
      <c r="A2666" s="1" t="s">
        <v>277</v>
      </c>
      <c r="B2666" s="1" t="s">
        <v>12</v>
      </c>
      <c r="C2666" s="2">
        <v>41155</v>
      </c>
      <c r="D2666" s="1">
        <v>10</v>
      </c>
      <c r="E2666" s="1" t="s">
        <v>11</v>
      </c>
      <c r="I2666" s="1" t="s">
        <v>12</v>
      </c>
      <c r="J2666" s="1" t="s">
        <v>40</v>
      </c>
      <c r="K2666" s="1" t="s">
        <v>14</v>
      </c>
      <c r="L2666" s="1" t="s">
        <v>12</v>
      </c>
      <c r="M2666" s="1" t="s">
        <v>12</v>
      </c>
      <c r="N2666" s="1">
        <v>24.12</v>
      </c>
      <c r="O2666" s="1" t="s">
        <v>24</v>
      </c>
      <c r="P2666" s="1">
        <v>1.74</v>
      </c>
      <c r="Q2666" s="1" t="s">
        <v>16</v>
      </c>
      <c r="R2666" s="1" t="str">
        <f>IF(N2666="","",VLOOKUP(N2666,Prior_levels,2,TRUE))</f>
        <v>M</v>
      </c>
    </row>
    <row r="2667" spans="1:18" x14ac:dyDescent="0.2">
      <c r="A2667" s="1" t="s">
        <v>277</v>
      </c>
      <c r="B2667" s="1" t="s">
        <v>12</v>
      </c>
      <c r="C2667" s="2">
        <v>41155</v>
      </c>
      <c r="D2667" s="1">
        <v>10</v>
      </c>
      <c r="E2667" s="1" t="s">
        <v>11</v>
      </c>
      <c r="I2667" s="1" t="s">
        <v>12</v>
      </c>
      <c r="J2667" s="1" t="s">
        <v>40</v>
      </c>
      <c r="K2667" s="1" t="s">
        <v>14</v>
      </c>
      <c r="L2667" s="1" t="s">
        <v>12</v>
      </c>
      <c r="M2667" s="1" t="s">
        <v>12</v>
      </c>
      <c r="N2667" s="1">
        <v>24.12</v>
      </c>
      <c r="O2667" s="1" t="s">
        <v>25</v>
      </c>
      <c r="P2667" s="1">
        <v>-2.92</v>
      </c>
      <c r="Q2667" s="1" t="s">
        <v>16</v>
      </c>
      <c r="R2667" s="1" t="str">
        <f>IF(N2667="","",VLOOKUP(N2667,Prior_levels,2,TRUE))</f>
        <v>M</v>
      </c>
    </row>
    <row r="2668" spans="1:18" x14ac:dyDescent="0.2">
      <c r="A2668" s="1" t="s">
        <v>277</v>
      </c>
      <c r="B2668" s="1" t="s">
        <v>12</v>
      </c>
      <c r="C2668" s="2">
        <v>41155</v>
      </c>
      <c r="D2668" s="1">
        <v>10</v>
      </c>
      <c r="E2668" s="1" t="s">
        <v>11</v>
      </c>
      <c r="I2668" s="1" t="s">
        <v>12</v>
      </c>
      <c r="J2668" s="1" t="s">
        <v>40</v>
      </c>
      <c r="K2668" s="1" t="s">
        <v>14</v>
      </c>
      <c r="L2668" s="1" t="s">
        <v>12</v>
      </c>
      <c r="M2668" s="1" t="s">
        <v>12</v>
      </c>
      <c r="N2668" s="1">
        <v>24.12</v>
      </c>
      <c r="O2668" s="1" t="s">
        <v>26</v>
      </c>
      <c r="P2668" s="1">
        <v>0</v>
      </c>
      <c r="Q2668" s="1" t="s">
        <v>16</v>
      </c>
      <c r="R2668" s="1" t="str">
        <f>IF(N2668="","",VLOOKUP(N2668,Prior_levels,2,TRUE))</f>
        <v>M</v>
      </c>
    </row>
    <row r="2669" spans="1:18" x14ac:dyDescent="0.2">
      <c r="A2669" s="1" t="s">
        <v>277</v>
      </c>
      <c r="B2669" s="1" t="s">
        <v>12</v>
      </c>
      <c r="C2669" s="2">
        <v>41155</v>
      </c>
      <c r="D2669" s="1">
        <v>10</v>
      </c>
      <c r="E2669" s="1" t="s">
        <v>11</v>
      </c>
      <c r="I2669" s="1" t="s">
        <v>12</v>
      </c>
      <c r="J2669" s="1" t="s">
        <v>40</v>
      </c>
      <c r="K2669" s="1" t="s">
        <v>14</v>
      </c>
      <c r="L2669" s="1" t="s">
        <v>12</v>
      </c>
      <c r="M2669" s="1" t="s">
        <v>12</v>
      </c>
      <c r="N2669" s="1">
        <v>24.12</v>
      </c>
      <c r="O2669" s="1" t="s">
        <v>27</v>
      </c>
      <c r="P2669" s="1" t="s">
        <v>28</v>
      </c>
      <c r="Q2669" s="1" t="s">
        <v>16</v>
      </c>
      <c r="R2669" s="1" t="str">
        <f>IF(N2669="","",VLOOKUP(N2669,Prior_levels,2,TRUE))</f>
        <v>M</v>
      </c>
    </row>
    <row r="2670" spans="1:18" x14ac:dyDescent="0.2">
      <c r="A2670" s="1" t="s">
        <v>277</v>
      </c>
      <c r="B2670" s="1" t="s">
        <v>12</v>
      </c>
      <c r="C2670" s="2">
        <v>41155</v>
      </c>
      <c r="D2670" s="1">
        <v>10</v>
      </c>
      <c r="E2670" s="1" t="s">
        <v>11</v>
      </c>
      <c r="I2670" s="1" t="s">
        <v>12</v>
      </c>
      <c r="J2670" s="1" t="s">
        <v>40</v>
      </c>
      <c r="K2670" s="1" t="s">
        <v>14</v>
      </c>
      <c r="L2670" s="1" t="s">
        <v>12</v>
      </c>
      <c r="M2670" s="1" t="s">
        <v>12</v>
      </c>
      <c r="N2670" s="1">
        <v>24.12</v>
      </c>
      <c r="O2670" s="1" t="s">
        <v>29</v>
      </c>
      <c r="P2670" s="1" t="s">
        <v>28</v>
      </c>
      <c r="Q2670" s="1" t="s">
        <v>16</v>
      </c>
      <c r="R2670" s="1" t="str">
        <f>IF(N2670="","",VLOOKUP(N2670,Prior_levels,2,TRUE))</f>
        <v>M</v>
      </c>
    </row>
    <row r="2671" spans="1:18" x14ac:dyDescent="0.2">
      <c r="A2671" s="1" t="s">
        <v>277</v>
      </c>
      <c r="B2671" s="1" t="s">
        <v>12</v>
      </c>
      <c r="C2671" s="2">
        <v>41155</v>
      </c>
      <c r="D2671" s="1">
        <v>10</v>
      </c>
      <c r="E2671" s="1" t="s">
        <v>11</v>
      </c>
      <c r="I2671" s="1" t="s">
        <v>12</v>
      </c>
      <c r="J2671" s="1" t="s">
        <v>40</v>
      </c>
      <c r="K2671" s="1" t="s">
        <v>14</v>
      </c>
      <c r="L2671" s="1" t="s">
        <v>12</v>
      </c>
      <c r="M2671" s="1" t="s">
        <v>12</v>
      </c>
      <c r="N2671" s="1">
        <v>24.12</v>
      </c>
      <c r="O2671" s="1" t="s">
        <v>30</v>
      </c>
      <c r="P2671" s="1" t="s">
        <v>28</v>
      </c>
      <c r="Q2671" s="1" t="s">
        <v>16</v>
      </c>
      <c r="R2671" s="1" t="str">
        <f>IF(N2671="","",VLOOKUP(N2671,Prior_levels,2,TRUE))</f>
        <v>M</v>
      </c>
    </row>
    <row r="2672" spans="1:18" x14ac:dyDescent="0.2">
      <c r="A2672" s="1" t="s">
        <v>277</v>
      </c>
      <c r="B2672" s="1" t="s">
        <v>12</v>
      </c>
      <c r="C2672" s="2">
        <v>41155</v>
      </c>
      <c r="D2672" s="1">
        <v>10</v>
      </c>
      <c r="E2672" s="1" t="s">
        <v>11</v>
      </c>
      <c r="I2672" s="1" t="s">
        <v>12</v>
      </c>
      <c r="J2672" s="1" t="s">
        <v>40</v>
      </c>
      <c r="K2672" s="1" t="s">
        <v>14</v>
      </c>
      <c r="L2672" s="1" t="s">
        <v>12</v>
      </c>
      <c r="M2672" s="1" t="s">
        <v>12</v>
      </c>
      <c r="N2672" s="1">
        <v>24.12</v>
      </c>
      <c r="O2672" s="1" t="s">
        <v>31</v>
      </c>
      <c r="P2672" s="1" t="s">
        <v>28</v>
      </c>
      <c r="Q2672" s="1" t="s">
        <v>16</v>
      </c>
      <c r="R2672" s="1" t="str">
        <f>IF(N2672="","",VLOOKUP(N2672,Prior_levels,2,TRUE))</f>
        <v>M</v>
      </c>
    </row>
    <row r="2673" spans="1:18" x14ac:dyDescent="0.2">
      <c r="A2673" s="1" t="s">
        <v>277</v>
      </c>
      <c r="B2673" s="1" t="s">
        <v>12</v>
      </c>
      <c r="C2673" s="2">
        <v>41155</v>
      </c>
      <c r="D2673" s="1">
        <v>10</v>
      </c>
      <c r="E2673" s="1" t="s">
        <v>11</v>
      </c>
      <c r="I2673" s="1" t="s">
        <v>12</v>
      </c>
      <c r="J2673" s="1" t="s">
        <v>40</v>
      </c>
      <c r="K2673" s="1" t="s">
        <v>14</v>
      </c>
      <c r="L2673" s="1" t="s">
        <v>12</v>
      </c>
      <c r="M2673" s="1" t="s">
        <v>12</v>
      </c>
      <c r="N2673" s="1">
        <v>24.12</v>
      </c>
      <c r="O2673" s="1" t="s">
        <v>32</v>
      </c>
      <c r="P2673" s="1" t="s">
        <v>28</v>
      </c>
      <c r="Q2673" s="1" t="s">
        <v>16</v>
      </c>
      <c r="R2673" s="1" t="str">
        <f>IF(N2673="","",VLOOKUP(N2673,Prior_levels,2,TRUE))</f>
        <v>M</v>
      </c>
    </row>
    <row r="2674" spans="1:18" x14ac:dyDescent="0.2">
      <c r="A2674" s="1" t="s">
        <v>278</v>
      </c>
      <c r="B2674" s="1" t="s">
        <v>10</v>
      </c>
      <c r="C2674" s="2">
        <v>41155</v>
      </c>
      <c r="D2674" s="1">
        <v>10</v>
      </c>
      <c r="E2674" s="1" t="s">
        <v>34</v>
      </c>
      <c r="F2674" s="1" t="s">
        <v>100</v>
      </c>
      <c r="H2674" s="1" t="s">
        <v>54</v>
      </c>
      <c r="I2674" s="1" t="s">
        <v>12</v>
      </c>
      <c r="J2674" s="1" t="s">
        <v>40</v>
      </c>
      <c r="K2674" s="1" t="s">
        <v>14</v>
      </c>
      <c r="L2674" s="1" t="s">
        <v>12</v>
      </c>
      <c r="M2674" s="1" t="s">
        <v>12</v>
      </c>
      <c r="N2674" s="1">
        <v>15.06</v>
      </c>
      <c r="O2674" s="1" t="s">
        <v>15</v>
      </c>
      <c r="P2674" s="1">
        <v>1.75</v>
      </c>
      <c r="Q2674" s="1" t="s">
        <v>16</v>
      </c>
      <c r="R2674" s="1" t="str">
        <f>IF(N2674="","",VLOOKUP(N2674,Prior_levels,2,TRUE))</f>
        <v>L</v>
      </c>
    </row>
    <row r="2675" spans="1:18" x14ac:dyDescent="0.2">
      <c r="A2675" s="1" t="s">
        <v>278</v>
      </c>
      <c r="B2675" s="1" t="s">
        <v>10</v>
      </c>
      <c r="C2675" s="2">
        <v>41155</v>
      </c>
      <c r="D2675" s="1">
        <v>10</v>
      </c>
      <c r="E2675" s="1" t="s">
        <v>34</v>
      </c>
      <c r="F2675" s="1" t="s">
        <v>100</v>
      </c>
      <c r="H2675" s="1" t="s">
        <v>54</v>
      </c>
      <c r="I2675" s="1" t="s">
        <v>12</v>
      </c>
      <c r="J2675" s="1" t="s">
        <v>40</v>
      </c>
      <c r="K2675" s="1" t="s">
        <v>14</v>
      </c>
      <c r="L2675" s="1" t="s">
        <v>12</v>
      </c>
      <c r="M2675" s="1" t="s">
        <v>12</v>
      </c>
      <c r="N2675" s="1">
        <v>15.06</v>
      </c>
      <c r="O2675" s="1" t="s">
        <v>17</v>
      </c>
      <c r="P2675" s="1">
        <v>-0.16</v>
      </c>
      <c r="Q2675" s="1" t="s">
        <v>16</v>
      </c>
      <c r="R2675" s="1" t="str">
        <f>IF(N2675="","",VLOOKUP(N2675,Prior_levels,2,TRUE))</f>
        <v>L</v>
      </c>
    </row>
    <row r="2676" spans="1:18" x14ac:dyDescent="0.2">
      <c r="A2676" s="1" t="s">
        <v>278</v>
      </c>
      <c r="B2676" s="1" t="s">
        <v>10</v>
      </c>
      <c r="C2676" s="2">
        <v>41155</v>
      </c>
      <c r="D2676" s="1">
        <v>10</v>
      </c>
      <c r="E2676" s="1" t="s">
        <v>34</v>
      </c>
      <c r="F2676" s="1" t="s">
        <v>100</v>
      </c>
      <c r="H2676" s="1" t="s">
        <v>54</v>
      </c>
      <c r="I2676" s="1" t="s">
        <v>12</v>
      </c>
      <c r="J2676" s="1" t="s">
        <v>40</v>
      </c>
      <c r="K2676" s="1" t="s">
        <v>14</v>
      </c>
      <c r="L2676" s="1" t="s">
        <v>12</v>
      </c>
      <c r="M2676" s="1" t="s">
        <v>12</v>
      </c>
      <c r="N2676" s="1">
        <v>15.06</v>
      </c>
      <c r="O2676" s="1" t="s">
        <v>18</v>
      </c>
      <c r="P2676" s="1">
        <v>4</v>
      </c>
      <c r="Q2676" s="1" t="s">
        <v>16</v>
      </c>
      <c r="R2676" s="1" t="str">
        <f>IF(N2676="","",VLOOKUP(N2676,Prior_levels,2,TRUE))</f>
        <v>L</v>
      </c>
    </row>
    <row r="2677" spans="1:18" x14ac:dyDescent="0.2">
      <c r="A2677" s="1" t="s">
        <v>278</v>
      </c>
      <c r="B2677" s="1" t="s">
        <v>10</v>
      </c>
      <c r="C2677" s="2">
        <v>41155</v>
      </c>
      <c r="D2677" s="1">
        <v>10</v>
      </c>
      <c r="E2677" s="1" t="s">
        <v>34</v>
      </c>
      <c r="F2677" s="1" t="s">
        <v>100</v>
      </c>
      <c r="H2677" s="1" t="s">
        <v>54</v>
      </c>
      <c r="I2677" s="1" t="s">
        <v>12</v>
      </c>
      <c r="J2677" s="1" t="s">
        <v>40</v>
      </c>
      <c r="K2677" s="1" t="s">
        <v>14</v>
      </c>
      <c r="L2677" s="1" t="s">
        <v>12</v>
      </c>
      <c r="M2677" s="1" t="s">
        <v>12</v>
      </c>
      <c r="N2677" s="1">
        <v>15.06</v>
      </c>
      <c r="O2677" s="1" t="s">
        <v>19</v>
      </c>
      <c r="P2677" s="1">
        <v>4</v>
      </c>
      <c r="Q2677" s="1" t="s">
        <v>16</v>
      </c>
      <c r="R2677" s="1" t="str">
        <f>IF(N2677="","",VLOOKUP(N2677,Prior_levels,2,TRUE))</f>
        <v>L</v>
      </c>
    </row>
    <row r="2678" spans="1:18" x14ac:dyDescent="0.2">
      <c r="A2678" s="1" t="s">
        <v>278</v>
      </c>
      <c r="B2678" s="1" t="s">
        <v>10</v>
      </c>
      <c r="C2678" s="2">
        <v>41155</v>
      </c>
      <c r="D2678" s="1">
        <v>10</v>
      </c>
      <c r="E2678" s="1" t="s">
        <v>34</v>
      </c>
      <c r="F2678" s="1" t="s">
        <v>100</v>
      </c>
      <c r="H2678" s="1" t="s">
        <v>54</v>
      </c>
      <c r="I2678" s="1" t="s">
        <v>12</v>
      </c>
      <c r="J2678" s="1" t="s">
        <v>40</v>
      </c>
      <c r="K2678" s="1" t="s">
        <v>14</v>
      </c>
      <c r="L2678" s="1" t="s">
        <v>12</v>
      </c>
      <c r="M2678" s="1" t="s">
        <v>12</v>
      </c>
      <c r="N2678" s="1">
        <v>15.06</v>
      </c>
      <c r="O2678" s="1" t="s">
        <v>20</v>
      </c>
      <c r="P2678" s="1">
        <v>4.5</v>
      </c>
      <c r="Q2678" s="1" t="s">
        <v>16</v>
      </c>
      <c r="R2678" s="1" t="str">
        <f>IF(N2678="","",VLOOKUP(N2678,Prior_levels,2,TRUE))</f>
        <v>L</v>
      </c>
    </row>
    <row r="2679" spans="1:18" x14ac:dyDescent="0.2">
      <c r="A2679" s="1" t="s">
        <v>278</v>
      </c>
      <c r="B2679" s="1" t="s">
        <v>10</v>
      </c>
      <c r="C2679" s="2">
        <v>41155</v>
      </c>
      <c r="D2679" s="1">
        <v>10</v>
      </c>
      <c r="E2679" s="1" t="s">
        <v>34</v>
      </c>
      <c r="F2679" s="1" t="s">
        <v>100</v>
      </c>
      <c r="H2679" s="1" t="s">
        <v>54</v>
      </c>
      <c r="I2679" s="1" t="s">
        <v>12</v>
      </c>
      <c r="J2679" s="1" t="s">
        <v>40</v>
      </c>
      <c r="K2679" s="1" t="s">
        <v>14</v>
      </c>
      <c r="L2679" s="1" t="s">
        <v>12</v>
      </c>
      <c r="M2679" s="1" t="s">
        <v>12</v>
      </c>
      <c r="N2679" s="1">
        <v>15.06</v>
      </c>
      <c r="O2679" s="1" t="s">
        <v>21</v>
      </c>
      <c r="P2679" s="1">
        <v>5</v>
      </c>
      <c r="Q2679" s="1" t="s">
        <v>16</v>
      </c>
      <c r="R2679" s="1" t="str">
        <f>IF(N2679="","",VLOOKUP(N2679,Prior_levels,2,TRUE))</f>
        <v>L</v>
      </c>
    </row>
    <row r="2680" spans="1:18" x14ac:dyDescent="0.2">
      <c r="A2680" s="1" t="s">
        <v>278</v>
      </c>
      <c r="B2680" s="1" t="s">
        <v>10</v>
      </c>
      <c r="C2680" s="2">
        <v>41155</v>
      </c>
      <c r="D2680" s="1">
        <v>10</v>
      </c>
      <c r="E2680" s="1" t="s">
        <v>34</v>
      </c>
      <c r="F2680" s="1" t="s">
        <v>100</v>
      </c>
      <c r="H2680" s="1" t="s">
        <v>54</v>
      </c>
      <c r="I2680" s="1" t="s">
        <v>12</v>
      </c>
      <c r="J2680" s="1" t="s">
        <v>40</v>
      </c>
      <c r="K2680" s="1" t="s">
        <v>14</v>
      </c>
      <c r="L2680" s="1" t="s">
        <v>12</v>
      </c>
      <c r="M2680" s="1" t="s">
        <v>12</v>
      </c>
      <c r="N2680" s="1">
        <v>15.06</v>
      </c>
      <c r="O2680" s="1" t="s">
        <v>22</v>
      </c>
      <c r="P2680" s="1">
        <v>-0.66</v>
      </c>
      <c r="Q2680" s="1" t="s">
        <v>16</v>
      </c>
      <c r="R2680" s="1" t="str">
        <f>IF(N2680="","",VLOOKUP(N2680,Prior_levels,2,TRUE))</f>
        <v>L</v>
      </c>
    </row>
    <row r="2681" spans="1:18" x14ac:dyDescent="0.2">
      <c r="A2681" s="1" t="s">
        <v>278</v>
      </c>
      <c r="B2681" s="1" t="s">
        <v>10</v>
      </c>
      <c r="C2681" s="2">
        <v>41155</v>
      </c>
      <c r="D2681" s="1">
        <v>10</v>
      </c>
      <c r="E2681" s="1" t="s">
        <v>34</v>
      </c>
      <c r="F2681" s="1" t="s">
        <v>100</v>
      </c>
      <c r="H2681" s="1" t="s">
        <v>54</v>
      </c>
      <c r="I2681" s="1" t="s">
        <v>12</v>
      </c>
      <c r="J2681" s="1" t="s">
        <v>40</v>
      </c>
      <c r="K2681" s="1" t="s">
        <v>14</v>
      </c>
      <c r="L2681" s="1" t="s">
        <v>12</v>
      </c>
      <c r="M2681" s="1" t="s">
        <v>12</v>
      </c>
      <c r="N2681" s="1">
        <v>15.06</v>
      </c>
      <c r="O2681" s="1" t="s">
        <v>23</v>
      </c>
      <c r="P2681" s="1">
        <v>0.68</v>
      </c>
      <c r="Q2681" s="1" t="s">
        <v>16</v>
      </c>
      <c r="R2681" s="1" t="str">
        <f>IF(N2681="","",VLOOKUP(N2681,Prior_levels,2,TRUE))</f>
        <v>L</v>
      </c>
    </row>
    <row r="2682" spans="1:18" x14ac:dyDescent="0.2">
      <c r="A2682" s="1" t="s">
        <v>278</v>
      </c>
      <c r="B2682" s="1" t="s">
        <v>10</v>
      </c>
      <c r="C2682" s="2">
        <v>41155</v>
      </c>
      <c r="D2682" s="1">
        <v>10</v>
      </c>
      <c r="E2682" s="1" t="s">
        <v>34</v>
      </c>
      <c r="F2682" s="1" t="s">
        <v>100</v>
      </c>
      <c r="H2682" s="1" t="s">
        <v>54</v>
      </c>
      <c r="I2682" s="1" t="s">
        <v>12</v>
      </c>
      <c r="J2682" s="1" t="s">
        <v>40</v>
      </c>
      <c r="K2682" s="1" t="s">
        <v>14</v>
      </c>
      <c r="L2682" s="1" t="s">
        <v>12</v>
      </c>
      <c r="M2682" s="1" t="s">
        <v>12</v>
      </c>
      <c r="N2682" s="1">
        <v>15.06</v>
      </c>
      <c r="O2682" s="1" t="s">
        <v>25</v>
      </c>
      <c r="P2682" s="1">
        <v>-3.63</v>
      </c>
      <c r="Q2682" s="1" t="s">
        <v>16</v>
      </c>
      <c r="R2682" s="1" t="str">
        <f>IF(N2682="","",VLOOKUP(N2682,Prior_levels,2,TRUE))</f>
        <v>L</v>
      </c>
    </row>
    <row r="2683" spans="1:18" x14ac:dyDescent="0.2">
      <c r="A2683" s="1" t="s">
        <v>278</v>
      </c>
      <c r="B2683" s="1" t="s">
        <v>10</v>
      </c>
      <c r="C2683" s="2">
        <v>41155</v>
      </c>
      <c r="D2683" s="1">
        <v>10</v>
      </c>
      <c r="E2683" s="1" t="s">
        <v>34</v>
      </c>
      <c r="F2683" s="1" t="s">
        <v>100</v>
      </c>
      <c r="H2683" s="1" t="s">
        <v>54</v>
      </c>
      <c r="I2683" s="1" t="s">
        <v>12</v>
      </c>
      <c r="J2683" s="1" t="s">
        <v>40</v>
      </c>
      <c r="K2683" s="1" t="s">
        <v>14</v>
      </c>
      <c r="L2683" s="1" t="s">
        <v>12</v>
      </c>
      <c r="M2683" s="1" t="s">
        <v>12</v>
      </c>
      <c r="N2683" s="1">
        <v>15.06</v>
      </c>
      <c r="O2683" s="1" t="s">
        <v>26</v>
      </c>
      <c r="P2683" s="1">
        <v>0</v>
      </c>
      <c r="Q2683" s="1" t="s">
        <v>16</v>
      </c>
      <c r="R2683" s="1" t="str">
        <f>IF(N2683="","",VLOOKUP(N2683,Prior_levels,2,TRUE))</f>
        <v>L</v>
      </c>
    </row>
    <row r="2684" spans="1:18" x14ac:dyDescent="0.2">
      <c r="A2684" s="1" t="s">
        <v>278</v>
      </c>
      <c r="B2684" s="1" t="s">
        <v>10</v>
      </c>
      <c r="C2684" s="2">
        <v>41155</v>
      </c>
      <c r="D2684" s="1">
        <v>10</v>
      </c>
      <c r="E2684" s="1" t="s">
        <v>34</v>
      </c>
      <c r="F2684" s="1" t="s">
        <v>100</v>
      </c>
      <c r="H2684" s="1" t="s">
        <v>54</v>
      </c>
      <c r="I2684" s="1" t="s">
        <v>12</v>
      </c>
      <c r="J2684" s="1" t="s">
        <v>40</v>
      </c>
      <c r="K2684" s="1" t="s">
        <v>14</v>
      </c>
      <c r="L2684" s="1" t="s">
        <v>12</v>
      </c>
      <c r="M2684" s="1" t="s">
        <v>12</v>
      </c>
      <c r="N2684" s="1">
        <v>15.06</v>
      </c>
      <c r="O2684" s="1" t="s">
        <v>24</v>
      </c>
      <c r="P2684" s="1">
        <v>1.94</v>
      </c>
      <c r="Q2684" s="1" t="s">
        <v>16</v>
      </c>
      <c r="R2684" s="1" t="str">
        <f>IF(N2684="","",VLOOKUP(N2684,Prior_levels,2,TRUE))</f>
        <v>L</v>
      </c>
    </row>
    <row r="2685" spans="1:18" x14ac:dyDescent="0.2">
      <c r="A2685" s="1" t="s">
        <v>278</v>
      </c>
      <c r="B2685" s="1" t="s">
        <v>10</v>
      </c>
      <c r="C2685" s="2">
        <v>41155</v>
      </c>
      <c r="D2685" s="1">
        <v>10</v>
      </c>
      <c r="E2685" s="1" t="s">
        <v>34</v>
      </c>
      <c r="F2685" s="1" t="s">
        <v>100</v>
      </c>
      <c r="H2685" s="1" t="s">
        <v>54</v>
      </c>
      <c r="I2685" s="1" t="s">
        <v>12</v>
      </c>
      <c r="J2685" s="1" t="s">
        <v>40</v>
      </c>
      <c r="K2685" s="1" t="s">
        <v>14</v>
      </c>
      <c r="L2685" s="1" t="s">
        <v>12</v>
      </c>
      <c r="M2685" s="1" t="s">
        <v>12</v>
      </c>
      <c r="N2685" s="1">
        <v>15.06</v>
      </c>
      <c r="O2685" s="1" t="s">
        <v>32</v>
      </c>
      <c r="P2685" s="1" t="s">
        <v>28</v>
      </c>
      <c r="Q2685" s="1" t="s">
        <v>16</v>
      </c>
      <c r="R2685" s="1" t="str">
        <f>IF(N2685="","",VLOOKUP(N2685,Prior_levels,2,TRUE))</f>
        <v>L</v>
      </c>
    </row>
    <row r="2686" spans="1:18" x14ac:dyDescent="0.2">
      <c r="A2686" s="1" t="s">
        <v>278</v>
      </c>
      <c r="B2686" s="1" t="s">
        <v>10</v>
      </c>
      <c r="C2686" s="2">
        <v>41155</v>
      </c>
      <c r="D2686" s="1">
        <v>10</v>
      </c>
      <c r="E2686" s="1" t="s">
        <v>34</v>
      </c>
      <c r="F2686" s="1" t="s">
        <v>100</v>
      </c>
      <c r="H2686" s="1" t="s">
        <v>54</v>
      </c>
      <c r="I2686" s="1" t="s">
        <v>12</v>
      </c>
      <c r="J2686" s="1" t="s">
        <v>40</v>
      </c>
      <c r="K2686" s="1" t="s">
        <v>14</v>
      </c>
      <c r="L2686" s="1" t="s">
        <v>12</v>
      </c>
      <c r="M2686" s="1" t="s">
        <v>12</v>
      </c>
      <c r="N2686" s="1">
        <v>15.06</v>
      </c>
      <c r="O2686" s="1" t="s">
        <v>27</v>
      </c>
      <c r="P2686" s="1" t="s">
        <v>28</v>
      </c>
      <c r="Q2686" s="1" t="s">
        <v>16</v>
      </c>
      <c r="R2686" s="1" t="str">
        <f>IF(N2686="","",VLOOKUP(N2686,Prior_levels,2,TRUE))</f>
        <v>L</v>
      </c>
    </row>
    <row r="2687" spans="1:18" x14ac:dyDescent="0.2">
      <c r="A2687" s="1" t="s">
        <v>278</v>
      </c>
      <c r="B2687" s="1" t="s">
        <v>10</v>
      </c>
      <c r="C2687" s="2">
        <v>41155</v>
      </c>
      <c r="D2687" s="1">
        <v>10</v>
      </c>
      <c r="E2687" s="1" t="s">
        <v>34</v>
      </c>
      <c r="F2687" s="1" t="s">
        <v>100</v>
      </c>
      <c r="H2687" s="1" t="s">
        <v>54</v>
      </c>
      <c r="I2687" s="1" t="s">
        <v>12</v>
      </c>
      <c r="J2687" s="1" t="s">
        <v>40</v>
      </c>
      <c r="K2687" s="1" t="s">
        <v>14</v>
      </c>
      <c r="L2687" s="1" t="s">
        <v>12</v>
      </c>
      <c r="M2687" s="1" t="s">
        <v>12</v>
      </c>
      <c r="N2687" s="1">
        <v>15.06</v>
      </c>
      <c r="O2687" s="1" t="s">
        <v>29</v>
      </c>
      <c r="P2687" s="1" t="s">
        <v>28</v>
      </c>
      <c r="Q2687" s="1" t="s">
        <v>16</v>
      </c>
      <c r="R2687" s="1" t="str">
        <f>IF(N2687="","",VLOOKUP(N2687,Prior_levels,2,TRUE))</f>
        <v>L</v>
      </c>
    </row>
    <row r="2688" spans="1:18" x14ac:dyDescent="0.2">
      <c r="A2688" s="1" t="s">
        <v>278</v>
      </c>
      <c r="B2688" s="1" t="s">
        <v>10</v>
      </c>
      <c r="C2688" s="2">
        <v>41155</v>
      </c>
      <c r="D2688" s="1">
        <v>10</v>
      </c>
      <c r="E2688" s="1" t="s">
        <v>34</v>
      </c>
      <c r="F2688" s="1" t="s">
        <v>100</v>
      </c>
      <c r="H2688" s="1" t="s">
        <v>54</v>
      </c>
      <c r="I2688" s="1" t="s">
        <v>12</v>
      </c>
      <c r="J2688" s="1" t="s">
        <v>40</v>
      </c>
      <c r="K2688" s="1" t="s">
        <v>14</v>
      </c>
      <c r="L2688" s="1" t="s">
        <v>12</v>
      </c>
      <c r="M2688" s="1" t="s">
        <v>12</v>
      </c>
      <c r="N2688" s="1">
        <v>15.06</v>
      </c>
      <c r="O2688" s="1" t="s">
        <v>30</v>
      </c>
      <c r="P2688" s="1" t="s">
        <v>28</v>
      </c>
      <c r="Q2688" s="1" t="s">
        <v>16</v>
      </c>
      <c r="R2688" s="1" t="str">
        <f>IF(N2688="","",VLOOKUP(N2688,Prior_levels,2,TRUE))</f>
        <v>L</v>
      </c>
    </row>
    <row r="2689" spans="1:18" x14ac:dyDescent="0.2">
      <c r="A2689" s="1" t="s">
        <v>278</v>
      </c>
      <c r="B2689" s="1" t="s">
        <v>10</v>
      </c>
      <c r="C2689" s="2">
        <v>41155</v>
      </c>
      <c r="D2689" s="1">
        <v>10</v>
      </c>
      <c r="E2689" s="1" t="s">
        <v>34</v>
      </c>
      <c r="F2689" s="1" t="s">
        <v>100</v>
      </c>
      <c r="H2689" s="1" t="s">
        <v>54</v>
      </c>
      <c r="I2689" s="1" t="s">
        <v>12</v>
      </c>
      <c r="J2689" s="1" t="s">
        <v>40</v>
      </c>
      <c r="K2689" s="1" t="s">
        <v>14</v>
      </c>
      <c r="L2689" s="1" t="s">
        <v>12</v>
      </c>
      <c r="M2689" s="1" t="s">
        <v>12</v>
      </c>
      <c r="N2689" s="1">
        <v>15.06</v>
      </c>
      <c r="O2689" s="1" t="s">
        <v>31</v>
      </c>
      <c r="P2689" s="1" t="s">
        <v>28</v>
      </c>
      <c r="Q2689" s="1" t="s">
        <v>16</v>
      </c>
      <c r="R2689" s="1" t="str">
        <f>IF(N2689="","",VLOOKUP(N2689,Prior_levels,2,TRUE))</f>
        <v>L</v>
      </c>
    </row>
    <row r="2690" spans="1:18" x14ac:dyDescent="0.2">
      <c r="A2690" s="1" t="s">
        <v>279</v>
      </c>
      <c r="B2690" s="1" t="s">
        <v>12</v>
      </c>
      <c r="C2690" s="2">
        <v>41155</v>
      </c>
      <c r="D2690" s="1">
        <v>10</v>
      </c>
      <c r="E2690" s="1" t="s">
        <v>52</v>
      </c>
      <c r="F2690" s="1" t="s">
        <v>100</v>
      </c>
      <c r="H2690" s="1" t="s">
        <v>54</v>
      </c>
      <c r="I2690" s="1" t="s">
        <v>12</v>
      </c>
      <c r="J2690" s="1" t="s">
        <v>40</v>
      </c>
      <c r="K2690" s="1" t="s">
        <v>14</v>
      </c>
      <c r="L2690" s="1" t="s">
        <v>35</v>
      </c>
      <c r="M2690" s="1" t="s">
        <v>35</v>
      </c>
      <c r="N2690" s="1">
        <v>15.06</v>
      </c>
      <c r="O2690" s="1" t="s">
        <v>15</v>
      </c>
      <c r="P2690" s="1">
        <v>2.15</v>
      </c>
      <c r="Q2690" s="1" t="s">
        <v>16</v>
      </c>
      <c r="R2690" s="1" t="str">
        <f>IF(N2690="","",VLOOKUP(N2690,Prior_levels,2,TRUE))</f>
        <v>L</v>
      </c>
    </row>
    <row r="2691" spans="1:18" x14ac:dyDescent="0.2">
      <c r="A2691" s="1" t="s">
        <v>279</v>
      </c>
      <c r="B2691" s="1" t="s">
        <v>12</v>
      </c>
      <c r="C2691" s="2">
        <v>41155</v>
      </c>
      <c r="D2691" s="1">
        <v>10</v>
      </c>
      <c r="E2691" s="1" t="s">
        <v>52</v>
      </c>
      <c r="F2691" s="1" t="s">
        <v>100</v>
      </c>
      <c r="H2691" s="1" t="s">
        <v>54</v>
      </c>
      <c r="I2691" s="1" t="s">
        <v>12</v>
      </c>
      <c r="J2691" s="1" t="s">
        <v>40</v>
      </c>
      <c r="K2691" s="1" t="s">
        <v>14</v>
      </c>
      <c r="L2691" s="1" t="s">
        <v>35</v>
      </c>
      <c r="M2691" s="1" t="s">
        <v>35</v>
      </c>
      <c r="N2691" s="1">
        <v>15.06</v>
      </c>
      <c r="O2691" s="1" t="s">
        <v>17</v>
      </c>
      <c r="P2691" s="1">
        <v>0.24</v>
      </c>
      <c r="Q2691" s="1" t="s">
        <v>16</v>
      </c>
      <c r="R2691" s="1" t="str">
        <f>IF(N2691="","",VLOOKUP(N2691,Prior_levels,2,TRUE))</f>
        <v>L</v>
      </c>
    </row>
    <row r="2692" spans="1:18" x14ac:dyDescent="0.2">
      <c r="A2692" s="1" t="s">
        <v>279</v>
      </c>
      <c r="B2692" s="1" t="s">
        <v>12</v>
      </c>
      <c r="C2692" s="2">
        <v>41155</v>
      </c>
      <c r="D2692" s="1">
        <v>10</v>
      </c>
      <c r="E2692" s="1" t="s">
        <v>52</v>
      </c>
      <c r="F2692" s="1" t="s">
        <v>100</v>
      </c>
      <c r="H2692" s="1" t="s">
        <v>54</v>
      </c>
      <c r="I2692" s="1" t="s">
        <v>12</v>
      </c>
      <c r="J2692" s="1" t="s">
        <v>40</v>
      </c>
      <c r="K2692" s="1" t="s">
        <v>14</v>
      </c>
      <c r="L2692" s="1" t="s">
        <v>35</v>
      </c>
      <c r="M2692" s="1" t="s">
        <v>35</v>
      </c>
      <c r="N2692" s="1">
        <v>15.06</v>
      </c>
      <c r="O2692" s="1" t="s">
        <v>18</v>
      </c>
      <c r="P2692" s="1">
        <v>4</v>
      </c>
      <c r="Q2692" s="1" t="s">
        <v>16</v>
      </c>
      <c r="R2692" s="1" t="str">
        <f>IF(N2692="","",VLOOKUP(N2692,Prior_levels,2,TRUE))</f>
        <v>L</v>
      </c>
    </row>
    <row r="2693" spans="1:18" x14ac:dyDescent="0.2">
      <c r="A2693" s="1" t="s">
        <v>279</v>
      </c>
      <c r="B2693" s="1" t="s">
        <v>12</v>
      </c>
      <c r="C2693" s="2">
        <v>41155</v>
      </c>
      <c r="D2693" s="1">
        <v>10</v>
      </c>
      <c r="E2693" s="1" t="s">
        <v>52</v>
      </c>
      <c r="F2693" s="1" t="s">
        <v>100</v>
      </c>
      <c r="H2693" s="1" t="s">
        <v>54</v>
      </c>
      <c r="I2693" s="1" t="s">
        <v>12</v>
      </c>
      <c r="J2693" s="1" t="s">
        <v>40</v>
      </c>
      <c r="K2693" s="1" t="s">
        <v>14</v>
      </c>
      <c r="L2693" s="1" t="s">
        <v>35</v>
      </c>
      <c r="M2693" s="1" t="s">
        <v>35</v>
      </c>
      <c r="N2693" s="1">
        <v>15.06</v>
      </c>
      <c r="O2693" s="1" t="s">
        <v>19</v>
      </c>
      <c r="P2693" s="1">
        <v>6</v>
      </c>
      <c r="Q2693" s="1" t="s">
        <v>16</v>
      </c>
      <c r="R2693" s="1" t="str">
        <f>IF(N2693="","",VLOOKUP(N2693,Prior_levels,2,TRUE))</f>
        <v>L</v>
      </c>
    </row>
    <row r="2694" spans="1:18" x14ac:dyDescent="0.2">
      <c r="A2694" s="1" t="s">
        <v>279</v>
      </c>
      <c r="B2694" s="1" t="s">
        <v>12</v>
      </c>
      <c r="C2694" s="2">
        <v>41155</v>
      </c>
      <c r="D2694" s="1">
        <v>10</v>
      </c>
      <c r="E2694" s="1" t="s">
        <v>52</v>
      </c>
      <c r="F2694" s="1" t="s">
        <v>100</v>
      </c>
      <c r="H2694" s="1" t="s">
        <v>54</v>
      </c>
      <c r="I2694" s="1" t="s">
        <v>12</v>
      </c>
      <c r="J2694" s="1" t="s">
        <v>40</v>
      </c>
      <c r="K2694" s="1" t="s">
        <v>14</v>
      </c>
      <c r="L2694" s="1" t="s">
        <v>35</v>
      </c>
      <c r="M2694" s="1" t="s">
        <v>35</v>
      </c>
      <c r="N2694" s="1">
        <v>15.06</v>
      </c>
      <c r="O2694" s="1" t="s">
        <v>20</v>
      </c>
      <c r="P2694" s="1">
        <v>5.5</v>
      </c>
      <c r="Q2694" s="1" t="s">
        <v>16</v>
      </c>
      <c r="R2694" s="1" t="str">
        <f>IF(N2694="","",VLOOKUP(N2694,Prior_levels,2,TRUE))</f>
        <v>L</v>
      </c>
    </row>
    <row r="2695" spans="1:18" x14ac:dyDescent="0.2">
      <c r="A2695" s="1" t="s">
        <v>279</v>
      </c>
      <c r="B2695" s="1" t="s">
        <v>12</v>
      </c>
      <c r="C2695" s="2">
        <v>41155</v>
      </c>
      <c r="D2695" s="1">
        <v>10</v>
      </c>
      <c r="E2695" s="1" t="s">
        <v>52</v>
      </c>
      <c r="F2695" s="1" t="s">
        <v>100</v>
      </c>
      <c r="H2695" s="1" t="s">
        <v>54</v>
      </c>
      <c r="I2695" s="1" t="s">
        <v>12</v>
      </c>
      <c r="J2695" s="1" t="s">
        <v>40</v>
      </c>
      <c r="K2695" s="1" t="s">
        <v>14</v>
      </c>
      <c r="L2695" s="1" t="s">
        <v>35</v>
      </c>
      <c r="M2695" s="1" t="s">
        <v>35</v>
      </c>
      <c r="N2695" s="1">
        <v>15.06</v>
      </c>
      <c r="O2695" s="1" t="s">
        <v>21</v>
      </c>
      <c r="P2695" s="1">
        <v>6</v>
      </c>
      <c r="Q2695" s="1" t="s">
        <v>16</v>
      </c>
      <c r="R2695" s="1" t="str">
        <f>IF(N2695="","",VLOOKUP(N2695,Prior_levels,2,TRUE))</f>
        <v>L</v>
      </c>
    </row>
    <row r="2696" spans="1:18" x14ac:dyDescent="0.2">
      <c r="A2696" s="1" t="s">
        <v>279</v>
      </c>
      <c r="B2696" s="1" t="s">
        <v>12</v>
      </c>
      <c r="C2696" s="2">
        <v>41155</v>
      </c>
      <c r="D2696" s="1">
        <v>10</v>
      </c>
      <c r="E2696" s="1" t="s">
        <v>52</v>
      </c>
      <c r="F2696" s="1" t="s">
        <v>100</v>
      </c>
      <c r="H2696" s="1" t="s">
        <v>54</v>
      </c>
      <c r="I2696" s="1" t="s">
        <v>12</v>
      </c>
      <c r="J2696" s="1" t="s">
        <v>40</v>
      </c>
      <c r="K2696" s="1" t="s">
        <v>14</v>
      </c>
      <c r="L2696" s="1" t="s">
        <v>35</v>
      </c>
      <c r="M2696" s="1" t="s">
        <v>35</v>
      </c>
      <c r="N2696" s="1">
        <v>15.06</v>
      </c>
      <c r="O2696" s="1" t="s">
        <v>22</v>
      </c>
      <c r="P2696" s="1">
        <v>-0.66</v>
      </c>
      <c r="Q2696" s="1" t="s">
        <v>16</v>
      </c>
      <c r="R2696" s="1" t="str">
        <f>IF(N2696="","",VLOOKUP(N2696,Prior_levels,2,TRUE))</f>
        <v>L</v>
      </c>
    </row>
    <row r="2697" spans="1:18" x14ac:dyDescent="0.2">
      <c r="A2697" s="1" t="s">
        <v>279</v>
      </c>
      <c r="B2697" s="1" t="s">
        <v>12</v>
      </c>
      <c r="C2697" s="2">
        <v>41155</v>
      </c>
      <c r="D2697" s="1">
        <v>10</v>
      </c>
      <c r="E2697" s="1" t="s">
        <v>52</v>
      </c>
      <c r="F2697" s="1" t="s">
        <v>100</v>
      </c>
      <c r="H2697" s="1" t="s">
        <v>54</v>
      </c>
      <c r="I2697" s="1" t="s">
        <v>12</v>
      </c>
      <c r="J2697" s="1" t="s">
        <v>40</v>
      </c>
      <c r="K2697" s="1" t="s">
        <v>14</v>
      </c>
      <c r="L2697" s="1" t="s">
        <v>35</v>
      </c>
      <c r="M2697" s="1" t="s">
        <v>35</v>
      </c>
      <c r="N2697" s="1">
        <v>15.06</v>
      </c>
      <c r="O2697" s="1" t="s">
        <v>23</v>
      </c>
      <c r="P2697" s="1">
        <v>1.68</v>
      </c>
      <c r="Q2697" s="1" t="s">
        <v>16</v>
      </c>
      <c r="R2697" s="1" t="str">
        <f>IF(N2697="","",VLOOKUP(N2697,Prior_levels,2,TRUE))</f>
        <v>L</v>
      </c>
    </row>
    <row r="2698" spans="1:18" x14ac:dyDescent="0.2">
      <c r="A2698" s="1" t="s">
        <v>279</v>
      </c>
      <c r="B2698" s="1" t="s">
        <v>12</v>
      </c>
      <c r="C2698" s="2">
        <v>41155</v>
      </c>
      <c r="D2698" s="1">
        <v>10</v>
      </c>
      <c r="E2698" s="1" t="s">
        <v>52</v>
      </c>
      <c r="F2698" s="1" t="s">
        <v>100</v>
      </c>
      <c r="H2698" s="1" t="s">
        <v>54</v>
      </c>
      <c r="I2698" s="1" t="s">
        <v>12</v>
      </c>
      <c r="J2698" s="1" t="s">
        <v>40</v>
      </c>
      <c r="K2698" s="1" t="s">
        <v>14</v>
      </c>
      <c r="L2698" s="1" t="s">
        <v>35</v>
      </c>
      <c r="M2698" s="1" t="s">
        <v>35</v>
      </c>
      <c r="N2698" s="1">
        <v>15.06</v>
      </c>
      <c r="O2698" s="1" t="s">
        <v>25</v>
      </c>
      <c r="P2698" s="1">
        <v>-2.63</v>
      </c>
      <c r="Q2698" s="1" t="s">
        <v>16</v>
      </c>
      <c r="R2698" s="1" t="str">
        <f>IF(N2698="","",VLOOKUP(N2698,Prior_levels,2,TRUE))</f>
        <v>L</v>
      </c>
    </row>
    <row r="2699" spans="1:18" x14ac:dyDescent="0.2">
      <c r="A2699" s="1" t="s">
        <v>279</v>
      </c>
      <c r="B2699" s="1" t="s">
        <v>12</v>
      </c>
      <c r="C2699" s="2">
        <v>41155</v>
      </c>
      <c r="D2699" s="1">
        <v>10</v>
      </c>
      <c r="E2699" s="1" t="s">
        <v>52</v>
      </c>
      <c r="F2699" s="1" t="s">
        <v>100</v>
      </c>
      <c r="H2699" s="1" t="s">
        <v>54</v>
      </c>
      <c r="I2699" s="1" t="s">
        <v>12</v>
      </c>
      <c r="J2699" s="1" t="s">
        <v>40</v>
      </c>
      <c r="K2699" s="1" t="s">
        <v>14</v>
      </c>
      <c r="L2699" s="1" t="s">
        <v>35</v>
      </c>
      <c r="M2699" s="1" t="s">
        <v>35</v>
      </c>
      <c r="N2699" s="1">
        <v>15.06</v>
      </c>
      <c r="O2699" s="1" t="s">
        <v>26</v>
      </c>
      <c r="P2699" s="1">
        <v>0</v>
      </c>
      <c r="Q2699" s="1" t="s">
        <v>16</v>
      </c>
      <c r="R2699" s="1" t="str">
        <f>IF(N2699="","",VLOOKUP(N2699,Prior_levels,2,TRUE))</f>
        <v>L</v>
      </c>
    </row>
    <row r="2700" spans="1:18" x14ac:dyDescent="0.2">
      <c r="A2700" s="1" t="s">
        <v>279</v>
      </c>
      <c r="B2700" s="1" t="s">
        <v>12</v>
      </c>
      <c r="C2700" s="2">
        <v>41155</v>
      </c>
      <c r="D2700" s="1">
        <v>10</v>
      </c>
      <c r="E2700" s="1" t="s">
        <v>52</v>
      </c>
      <c r="F2700" s="1" t="s">
        <v>100</v>
      </c>
      <c r="H2700" s="1" t="s">
        <v>54</v>
      </c>
      <c r="I2700" s="1" t="s">
        <v>12</v>
      </c>
      <c r="J2700" s="1" t="s">
        <v>40</v>
      </c>
      <c r="K2700" s="1" t="s">
        <v>14</v>
      </c>
      <c r="L2700" s="1" t="s">
        <v>35</v>
      </c>
      <c r="M2700" s="1" t="s">
        <v>35</v>
      </c>
      <c r="N2700" s="1">
        <v>15.06</v>
      </c>
      <c r="O2700" s="1" t="s">
        <v>24</v>
      </c>
      <c r="P2700" s="1">
        <v>2.94</v>
      </c>
      <c r="Q2700" s="1" t="s">
        <v>16</v>
      </c>
      <c r="R2700" s="1" t="str">
        <f>IF(N2700="","",VLOOKUP(N2700,Prior_levels,2,TRUE))</f>
        <v>L</v>
      </c>
    </row>
    <row r="2701" spans="1:18" x14ac:dyDescent="0.2">
      <c r="A2701" s="1" t="s">
        <v>279</v>
      </c>
      <c r="B2701" s="1" t="s">
        <v>12</v>
      </c>
      <c r="C2701" s="2">
        <v>41155</v>
      </c>
      <c r="D2701" s="1">
        <v>10</v>
      </c>
      <c r="E2701" s="1" t="s">
        <v>52</v>
      </c>
      <c r="F2701" s="1" t="s">
        <v>100</v>
      </c>
      <c r="H2701" s="1" t="s">
        <v>54</v>
      </c>
      <c r="I2701" s="1" t="s">
        <v>12</v>
      </c>
      <c r="J2701" s="1" t="s">
        <v>40</v>
      </c>
      <c r="K2701" s="1" t="s">
        <v>14</v>
      </c>
      <c r="L2701" s="1" t="s">
        <v>35</v>
      </c>
      <c r="M2701" s="1" t="s">
        <v>35</v>
      </c>
      <c r="N2701" s="1">
        <v>15.06</v>
      </c>
      <c r="O2701" s="1" t="s">
        <v>32</v>
      </c>
      <c r="P2701" s="1" t="s">
        <v>28</v>
      </c>
      <c r="Q2701" s="1" t="s">
        <v>16</v>
      </c>
      <c r="R2701" s="1" t="str">
        <f>IF(N2701="","",VLOOKUP(N2701,Prior_levels,2,TRUE))</f>
        <v>L</v>
      </c>
    </row>
    <row r="2702" spans="1:18" x14ac:dyDescent="0.2">
      <c r="A2702" s="1" t="s">
        <v>279</v>
      </c>
      <c r="B2702" s="1" t="s">
        <v>12</v>
      </c>
      <c r="C2702" s="2">
        <v>41155</v>
      </c>
      <c r="D2702" s="1">
        <v>10</v>
      </c>
      <c r="E2702" s="1" t="s">
        <v>52</v>
      </c>
      <c r="F2702" s="1" t="s">
        <v>100</v>
      </c>
      <c r="H2702" s="1" t="s">
        <v>54</v>
      </c>
      <c r="I2702" s="1" t="s">
        <v>12</v>
      </c>
      <c r="J2702" s="1" t="s">
        <v>40</v>
      </c>
      <c r="K2702" s="1" t="s">
        <v>14</v>
      </c>
      <c r="L2702" s="1" t="s">
        <v>35</v>
      </c>
      <c r="M2702" s="1" t="s">
        <v>35</v>
      </c>
      <c r="N2702" s="1">
        <v>15.06</v>
      </c>
      <c r="O2702" s="1" t="s">
        <v>27</v>
      </c>
      <c r="P2702" s="1" t="s">
        <v>28</v>
      </c>
      <c r="Q2702" s="1" t="s">
        <v>16</v>
      </c>
      <c r="R2702" s="1" t="str">
        <f>IF(N2702="","",VLOOKUP(N2702,Prior_levels,2,TRUE))</f>
        <v>L</v>
      </c>
    </row>
    <row r="2703" spans="1:18" x14ac:dyDescent="0.2">
      <c r="A2703" s="1" t="s">
        <v>279</v>
      </c>
      <c r="B2703" s="1" t="s">
        <v>12</v>
      </c>
      <c r="C2703" s="2">
        <v>41155</v>
      </c>
      <c r="D2703" s="1">
        <v>10</v>
      </c>
      <c r="E2703" s="1" t="s">
        <v>52</v>
      </c>
      <c r="F2703" s="1" t="s">
        <v>100</v>
      </c>
      <c r="H2703" s="1" t="s">
        <v>54</v>
      </c>
      <c r="I2703" s="1" t="s">
        <v>12</v>
      </c>
      <c r="J2703" s="1" t="s">
        <v>40</v>
      </c>
      <c r="K2703" s="1" t="s">
        <v>14</v>
      </c>
      <c r="L2703" s="1" t="s">
        <v>35</v>
      </c>
      <c r="M2703" s="1" t="s">
        <v>35</v>
      </c>
      <c r="N2703" s="1">
        <v>15.06</v>
      </c>
      <c r="O2703" s="1" t="s">
        <v>29</v>
      </c>
      <c r="P2703" s="1" t="s">
        <v>28</v>
      </c>
      <c r="Q2703" s="1" t="s">
        <v>16</v>
      </c>
      <c r="R2703" s="1" t="str">
        <f>IF(N2703="","",VLOOKUP(N2703,Prior_levels,2,TRUE))</f>
        <v>L</v>
      </c>
    </row>
    <row r="2704" spans="1:18" x14ac:dyDescent="0.2">
      <c r="A2704" s="1" t="s">
        <v>279</v>
      </c>
      <c r="B2704" s="1" t="s">
        <v>12</v>
      </c>
      <c r="C2704" s="2">
        <v>41155</v>
      </c>
      <c r="D2704" s="1">
        <v>10</v>
      </c>
      <c r="E2704" s="1" t="s">
        <v>52</v>
      </c>
      <c r="F2704" s="1" t="s">
        <v>100</v>
      </c>
      <c r="H2704" s="1" t="s">
        <v>54</v>
      </c>
      <c r="I2704" s="1" t="s">
        <v>12</v>
      </c>
      <c r="J2704" s="1" t="s">
        <v>40</v>
      </c>
      <c r="K2704" s="1" t="s">
        <v>14</v>
      </c>
      <c r="L2704" s="1" t="s">
        <v>35</v>
      </c>
      <c r="M2704" s="1" t="s">
        <v>35</v>
      </c>
      <c r="N2704" s="1">
        <v>15.06</v>
      </c>
      <c r="O2704" s="1" t="s">
        <v>30</v>
      </c>
      <c r="P2704" s="1" t="s">
        <v>28</v>
      </c>
      <c r="Q2704" s="1" t="s">
        <v>16</v>
      </c>
      <c r="R2704" s="1" t="str">
        <f>IF(N2704="","",VLOOKUP(N2704,Prior_levels,2,TRUE))</f>
        <v>L</v>
      </c>
    </row>
    <row r="2705" spans="1:18" x14ac:dyDescent="0.2">
      <c r="A2705" s="1" t="s">
        <v>279</v>
      </c>
      <c r="B2705" s="1" t="s">
        <v>12</v>
      </c>
      <c r="C2705" s="2">
        <v>41155</v>
      </c>
      <c r="D2705" s="1">
        <v>10</v>
      </c>
      <c r="E2705" s="1" t="s">
        <v>52</v>
      </c>
      <c r="F2705" s="1" t="s">
        <v>100</v>
      </c>
      <c r="H2705" s="1" t="s">
        <v>54</v>
      </c>
      <c r="I2705" s="1" t="s">
        <v>12</v>
      </c>
      <c r="J2705" s="1" t="s">
        <v>40</v>
      </c>
      <c r="K2705" s="1" t="s">
        <v>14</v>
      </c>
      <c r="L2705" s="1" t="s">
        <v>35</v>
      </c>
      <c r="M2705" s="1" t="s">
        <v>35</v>
      </c>
      <c r="N2705" s="1">
        <v>15.06</v>
      </c>
      <c r="O2705" s="1" t="s">
        <v>31</v>
      </c>
      <c r="P2705" s="1" t="s">
        <v>28</v>
      </c>
      <c r="Q2705" s="1" t="s">
        <v>16</v>
      </c>
      <c r="R2705" s="1" t="str">
        <f>IF(N2705="","",VLOOKUP(N2705,Prior_levels,2,TRUE))</f>
        <v>L</v>
      </c>
    </row>
    <row r="2706" spans="1:18" x14ac:dyDescent="0.2">
      <c r="A2706" s="1" t="s">
        <v>280</v>
      </c>
      <c r="B2706" s="1" t="s">
        <v>10</v>
      </c>
      <c r="C2706" s="2">
        <v>41155</v>
      </c>
      <c r="D2706" s="1">
        <v>10</v>
      </c>
      <c r="E2706" s="1" t="s">
        <v>11</v>
      </c>
      <c r="H2706" s="1" t="s">
        <v>54</v>
      </c>
      <c r="I2706" s="1" t="s">
        <v>12</v>
      </c>
      <c r="J2706" s="1" t="s">
        <v>212</v>
      </c>
      <c r="K2706" s="1" t="s">
        <v>14</v>
      </c>
      <c r="L2706" s="1" t="s">
        <v>12</v>
      </c>
      <c r="M2706" s="1" t="s">
        <v>12</v>
      </c>
      <c r="N2706" s="1">
        <v>33.18</v>
      </c>
      <c r="O2706" s="1" t="s">
        <v>15</v>
      </c>
      <c r="P2706" s="1">
        <v>6.5</v>
      </c>
      <c r="Q2706" s="1" t="s">
        <v>16</v>
      </c>
      <c r="R2706" s="1" t="str">
        <f>IF(N2706="","",VLOOKUP(N2706,Prior_levels,2,TRUE))</f>
        <v>H</v>
      </c>
    </row>
    <row r="2707" spans="1:18" x14ac:dyDescent="0.2">
      <c r="A2707" s="1" t="s">
        <v>280</v>
      </c>
      <c r="B2707" s="1" t="s">
        <v>10</v>
      </c>
      <c r="C2707" s="2">
        <v>41155</v>
      </c>
      <c r="D2707" s="1">
        <v>10</v>
      </c>
      <c r="E2707" s="1" t="s">
        <v>11</v>
      </c>
      <c r="H2707" s="1" t="s">
        <v>54</v>
      </c>
      <c r="I2707" s="1" t="s">
        <v>12</v>
      </c>
      <c r="J2707" s="1" t="s">
        <v>212</v>
      </c>
      <c r="K2707" s="1" t="s">
        <v>14</v>
      </c>
      <c r="L2707" s="1" t="s">
        <v>12</v>
      </c>
      <c r="M2707" s="1" t="s">
        <v>12</v>
      </c>
      <c r="N2707" s="1">
        <v>33.18</v>
      </c>
      <c r="O2707" s="1" t="s">
        <v>17</v>
      </c>
      <c r="P2707" s="1">
        <v>-0.05</v>
      </c>
      <c r="Q2707" s="1" t="s">
        <v>16</v>
      </c>
      <c r="R2707" s="1" t="str">
        <f>IF(N2707="","",VLOOKUP(N2707,Prior_levels,2,TRUE))</f>
        <v>H</v>
      </c>
    </row>
    <row r="2708" spans="1:18" x14ac:dyDescent="0.2">
      <c r="A2708" s="1" t="s">
        <v>280</v>
      </c>
      <c r="B2708" s="1" t="s">
        <v>10</v>
      </c>
      <c r="C2708" s="2">
        <v>41155</v>
      </c>
      <c r="D2708" s="1">
        <v>10</v>
      </c>
      <c r="E2708" s="1" t="s">
        <v>11</v>
      </c>
      <c r="H2708" s="1" t="s">
        <v>54</v>
      </c>
      <c r="I2708" s="1" t="s">
        <v>12</v>
      </c>
      <c r="J2708" s="1" t="s">
        <v>212</v>
      </c>
      <c r="K2708" s="1" t="s">
        <v>14</v>
      </c>
      <c r="L2708" s="1" t="s">
        <v>12</v>
      </c>
      <c r="M2708" s="1" t="s">
        <v>12</v>
      </c>
      <c r="N2708" s="1">
        <v>33.18</v>
      </c>
      <c r="O2708" s="1" t="s">
        <v>18</v>
      </c>
      <c r="P2708" s="1">
        <v>14</v>
      </c>
      <c r="Q2708" s="1" t="s">
        <v>16</v>
      </c>
      <c r="R2708" s="1" t="str">
        <f>IF(N2708="","",VLOOKUP(N2708,Prior_levels,2,TRUE))</f>
        <v>H</v>
      </c>
    </row>
    <row r="2709" spans="1:18" x14ac:dyDescent="0.2">
      <c r="A2709" s="1" t="s">
        <v>280</v>
      </c>
      <c r="B2709" s="1" t="s">
        <v>10</v>
      </c>
      <c r="C2709" s="2">
        <v>41155</v>
      </c>
      <c r="D2709" s="1">
        <v>10</v>
      </c>
      <c r="E2709" s="1" t="s">
        <v>11</v>
      </c>
      <c r="H2709" s="1" t="s">
        <v>54</v>
      </c>
      <c r="I2709" s="1" t="s">
        <v>12</v>
      </c>
      <c r="J2709" s="1" t="s">
        <v>212</v>
      </c>
      <c r="K2709" s="1" t="s">
        <v>14</v>
      </c>
      <c r="L2709" s="1" t="s">
        <v>12</v>
      </c>
      <c r="M2709" s="1" t="s">
        <v>12</v>
      </c>
      <c r="N2709" s="1">
        <v>33.18</v>
      </c>
      <c r="O2709" s="1" t="s">
        <v>19</v>
      </c>
      <c r="P2709" s="1">
        <v>12</v>
      </c>
      <c r="Q2709" s="1" t="s">
        <v>16</v>
      </c>
      <c r="R2709" s="1" t="str">
        <f>IF(N2709="","",VLOOKUP(N2709,Prior_levels,2,TRUE))</f>
        <v>H</v>
      </c>
    </row>
    <row r="2710" spans="1:18" x14ac:dyDescent="0.2">
      <c r="A2710" s="1" t="s">
        <v>280</v>
      </c>
      <c r="B2710" s="1" t="s">
        <v>10</v>
      </c>
      <c r="C2710" s="2">
        <v>41155</v>
      </c>
      <c r="D2710" s="1">
        <v>10</v>
      </c>
      <c r="E2710" s="1" t="s">
        <v>11</v>
      </c>
      <c r="H2710" s="1" t="s">
        <v>54</v>
      </c>
      <c r="I2710" s="1" t="s">
        <v>12</v>
      </c>
      <c r="J2710" s="1" t="s">
        <v>212</v>
      </c>
      <c r="K2710" s="1" t="s">
        <v>14</v>
      </c>
      <c r="L2710" s="1" t="s">
        <v>12</v>
      </c>
      <c r="M2710" s="1" t="s">
        <v>12</v>
      </c>
      <c r="N2710" s="1">
        <v>33.18</v>
      </c>
      <c r="O2710" s="1" t="s">
        <v>20</v>
      </c>
      <c r="P2710" s="1">
        <v>18</v>
      </c>
      <c r="Q2710" s="1" t="s">
        <v>16</v>
      </c>
      <c r="R2710" s="1" t="str">
        <f>IF(N2710="","",VLOOKUP(N2710,Prior_levels,2,TRUE))</f>
        <v>H</v>
      </c>
    </row>
    <row r="2711" spans="1:18" x14ac:dyDescent="0.2">
      <c r="A2711" s="1" t="s">
        <v>280</v>
      </c>
      <c r="B2711" s="1" t="s">
        <v>10</v>
      </c>
      <c r="C2711" s="2">
        <v>41155</v>
      </c>
      <c r="D2711" s="1">
        <v>10</v>
      </c>
      <c r="E2711" s="1" t="s">
        <v>11</v>
      </c>
      <c r="H2711" s="1" t="s">
        <v>54</v>
      </c>
      <c r="I2711" s="1" t="s">
        <v>12</v>
      </c>
      <c r="J2711" s="1" t="s">
        <v>212</v>
      </c>
      <c r="K2711" s="1" t="s">
        <v>14</v>
      </c>
      <c r="L2711" s="1" t="s">
        <v>12</v>
      </c>
      <c r="M2711" s="1" t="s">
        <v>12</v>
      </c>
      <c r="N2711" s="1">
        <v>33.18</v>
      </c>
      <c r="O2711" s="1" t="s">
        <v>21</v>
      </c>
      <c r="P2711" s="1">
        <v>21</v>
      </c>
      <c r="Q2711" s="1" t="s">
        <v>16</v>
      </c>
      <c r="R2711" s="1" t="str">
        <f>IF(N2711="","",VLOOKUP(N2711,Prior_levels,2,TRUE))</f>
        <v>H</v>
      </c>
    </row>
    <row r="2712" spans="1:18" x14ac:dyDescent="0.2">
      <c r="A2712" s="1" t="s">
        <v>280</v>
      </c>
      <c r="B2712" s="1" t="s">
        <v>10</v>
      </c>
      <c r="C2712" s="2">
        <v>41155</v>
      </c>
      <c r="D2712" s="1">
        <v>10</v>
      </c>
      <c r="E2712" s="1" t="s">
        <v>11</v>
      </c>
      <c r="H2712" s="1" t="s">
        <v>54</v>
      </c>
      <c r="I2712" s="1" t="s">
        <v>12</v>
      </c>
      <c r="J2712" s="1" t="s">
        <v>212</v>
      </c>
      <c r="K2712" s="1" t="s">
        <v>14</v>
      </c>
      <c r="L2712" s="1" t="s">
        <v>12</v>
      </c>
      <c r="M2712" s="1" t="s">
        <v>12</v>
      </c>
      <c r="N2712" s="1">
        <v>33.18</v>
      </c>
      <c r="O2712" s="1" t="s">
        <v>22</v>
      </c>
      <c r="P2712" s="1">
        <v>0.36</v>
      </c>
      <c r="Q2712" s="1" t="s">
        <v>16</v>
      </c>
      <c r="R2712" s="1" t="str">
        <f>IF(N2712="","",VLOOKUP(N2712,Prior_levels,2,TRUE))</f>
        <v>H</v>
      </c>
    </row>
    <row r="2713" spans="1:18" x14ac:dyDescent="0.2">
      <c r="A2713" s="1" t="s">
        <v>280</v>
      </c>
      <c r="B2713" s="1" t="s">
        <v>10</v>
      </c>
      <c r="C2713" s="2">
        <v>41155</v>
      </c>
      <c r="D2713" s="1">
        <v>10</v>
      </c>
      <c r="E2713" s="1" t="s">
        <v>11</v>
      </c>
      <c r="H2713" s="1" t="s">
        <v>54</v>
      </c>
      <c r="I2713" s="1" t="s">
        <v>12</v>
      </c>
      <c r="J2713" s="1" t="s">
        <v>212</v>
      </c>
      <c r="K2713" s="1" t="s">
        <v>14</v>
      </c>
      <c r="L2713" s="1" t="s">
        <v>12</v>
      </c>
      <c r="M2713" s="1" t="s">
        <v>12</v>
      </c>
      <c r="N2713" s="1">
        <v>33.18</v>
      </c>
      <c r="O2713" s="1" t="s">
        <v>23</v>
      </c>
      <c r="P2713" s="1">
        <v>-0.66</v>
      </c>
      <c r="Q2713" s="1" t="s">
        <v>16</v>
      </c>
      <c r="R2713" s="1" t="str">
        <f>IF(N2713="","",VLOOKUP(N2713,Prior_levels,2,TRUE))</f>
        <v>H</v>
      </c>
    </row>
    <row r="2714" spans="1:18" x14ac:dyDescent="0.2">
      <c r="A2714" s="1" t="s">
        <v>280</v>
      </c>
      <c r="B2714" s="1" t="s">
        <v>10</v>
      </c>
      <c r="C2714" s="2">
        <v>41155</v>
      </c>
      <c r="D2714" s="1">
        <v>10</v>
      </c>
      <c r="E2714" s="1" t="s">
        <v>11</v>
      </c>
      <c r="H2714" s="1" t="s">
        <v>54</v>
      </c>
      <c r="I2714" s="1" t="s">
        <v>12</v>
      </c>
      <c r="J2714" s="1" t="s">
        <v>212</v>
      </c>
      <c r="K2714" s="1" t="s">
        <v>14</v>
      </c>
      <c r="L2714" s="1" t="s">
        <v>12</v>
      </c>
      <c r="M2714" s="1" t="s">
        <v>12</v>
      </c>
      <c r="N2714" s="1">
        <v>33.18</v>
      </c>
      <c r="O2714" s="1" t="s">
        <v>25</v>
      </c>
      <c r="P2714" s="1">
        <v>1.38</v>
      </c>
      <c r="Q2714" s="1" t="s">
        <v>16</v>
      </c>
      <c r="R2714" s="1" t="str">
        <f>IF(N2714="","",VLOOKUP(N2714,Prior_levels,2,TRUE))</f>
        <v>H</v>
      </c>
    </row>
    <row r="2715" spans="1:18" x14ac:dyDescent="0.2">
      <c r="A2715" s="1" t="s">
        <v>280</v>
      </c>
      <c r="B2715" s="1" t="s">
        <v>10</v>
      </c>
      <c r="C2715" s="2">
        <v>41155</v>
      </c>
      <c r="D2715" s="1">
        <v>10</v>
      </c>
      <c r="E2715" s="1" t="s">
        <v>11</v>
      </c>
      <c r="H2715" s="1" t="s">
        <v>54</v>
      </c>
      <c r="I2715" s="1" t="s">
        <v>12</v>
      </c>
      <c r="J2715" s="1" t="s">
        <v>212</v>
      </c>
      <c r="K2715" s="1" t="s">
        <v>14</v>
      </c>
      <c r="L2715" s="1" t="s">
        <v>12</v>
      </c>
      <c r="M2715" s="1" t="s">
        <v>12</v>
      </c>
      <c r="N2715" s="1">
        <v>33.18</v>
      </c>
      <c r="O2715" s="1" t="s">
        <v>26</v>
      </c>
      <c r="P2715" s="1">
        <v>11</v>
      </c>
      <c r="Q2715" s="1" t="s">
        <v>16</v>
      </c>
      <c r="R2715" s="1" t="str">
        <f>IF(N2715="","",VLOOKUP(N2715,Prior_levels,2,TRUE))</f>
        <v>H</v>
      </c>
    </row>
    <row r="2716" spans="1:18" x14ac:dyDescent="0.2">
      <c r="A2716" s="1" t="s">
        <v>280</v>
      </c>
      <c r="B2716" s="1" t="s">
        <v>10</v>
      </c>
      <c r="C2716" s="2">
        <v>41155</v>
      </c>
      <c r="D2716" s="1">
        <v>10</v>
      </c>
      <c r="E2716" s="1" t="s">
        <v>11</v>
      </c>
      <c r="H2716" s="1" t="s">
        <v>54</v>
      </c>
      <c r="I2716" s="1" t="s">
        <v>12</v>
      </c>
      <c r="J2716" s="1" t="s">
        <v>212</v>
      </c>
      <c r="K2716" s="1" t="s">
        <v>14</v>
      </c>
      <c r="L2716" s="1" t="s">
        <v>12</v>
      </c>
      <c r="M2716" s="1" t="s">
        <v>12</v>
      </c>
      <c r="N2716" s="1">
        <v>33.18</v>
      </c>
      <c r="O2716" s="1" t="s">
        <v>24</v>
      </c>
      <c r="P2716" s="1">
        <v>-1.27</v>
      </c>
      <c r="Q2716" s="1" t="s">
        <v>16</v>
      </c>
      <c r="R2716" s="1" t="str">
        <f>IF(N2716="","",VLOOKUP(N2716,Prior_levels,2,TRUE))</f>
        <v>H</v>
      </c>
    </row>
    <row r="2717" spans="1:18" x14ac:dyDescent="0.2">
      <c r="A2717" s="1" t="s">
        <v>280</v>
      </c>
      <c r="B2717" s="1" t="s">
        <v>10</v>
      </c>
      <c r="C2717" s="2">
        <v>41155</v>
      </c>
      <c r="D2717" s="1">
        <v>10</v>
      </c>
      <c r="E2717" s="1" t="s">
        <v>11</v>
      </c>
      <c r="H2717" s="1" t="s">
        <v>54</v>
      </c>
      <c r="I2717" s="1" t="s">
        <v>12</v>
      </c>
      <c r="J2717" s="1" t="s">
        <v>212</v>
      </c>
      <c r="K2717" s="1" t="s">
        <v>14</v>
      </c>
      <c r="L2717" s="1" t="s">
        <v>12</v>
      </c>
      <c r="M2717" s="1" t="s">
        <v>12</v>
      </c>
      <c r="N2717" s="1">
        <v>33.18</v>
      </c>
      <c r="O2717" s="1" t="s">
        <v>32</v>
      </c>
      <c r="P2717" s="1" t="s">
        <v>37</v>
      </c>
      <c r="Q2717" s="1" t="s">
        <v>16</v>
      </c>
      <c r="R2717" s="1" t="str">
        <f>IF(N2717="","",VLOOKUP(N2717,Prior_levels,2,TRUE))</f>
        <v>H</v>
      </c>
    </row>
    <row r="2718" spans="1:18" x14ac:dyDescent="0.2">
      <c r="A2718" s="1" t="s">
        <v>280</v>
      </c>
      <c r="B2718" s="1" t="s">
        <v>10</v>
      </c>
      <c r="C2718" s="2">
        <v>41155</v>
      </c>
      <c r="D2718" s="1">
        <v>10</v>
      </c>
      <c r="E2718" s="1" t="s">
        <v>11</v>
      </c>
      <c r="H2718" s="1" t="s">
        <v>54</v>
      </c>
      <c r="I2718" s="1" t="s">
        <v>12</v>
      </c>
      <c r="J2718" s="1" t="s">
        <v>212</v>
      </c>
      <c r="K2718" s="1" t="s">
        <v>14</v>
      </c>
      <c r="L2718" s="1" t="s">
        <v>12</v>
      </c>
      <c r="M2718" s="1" t="s">
        <v>12</v>
      </c>
      <c r="N2718" s="1">
        <v>33.18</v>
      </c>
      <c r="O2718" s="1" t="s">
        <v>27</v>
      </c>
      <c r="P2718" s="1" t="s">
        <v>37</v>
      </c>
      <c r="Q2718" s="1" t="s">
        <v>16</v>
      </c>
      <c r="R2718" s="1" t="str">
        <f>IF(N2718="","",VLOOKUP(N2718,Prior_levels,2,TRUE))</f>
        <v>H</v>
      </c>
    </row>
    <row r="2719" spans="1:18" x14ac:dyDescent="0.2">
      <c r="A2719" s="1" t="s">
        <v>280</v>
      </c>
      <c r="B2719" s="1" t="s">
        <v>10</v>
      </c>
      <c r="C2719" s="2">
        <v>41155</v>
      </c>
      <c r="D2719" s="1">
        <v>10</v>
      </c>
      <c r="E2719" s="1" t="s">
        <v>11</v>
      </c>
      <c r="H2719" s="1" t="s">
        <v>54</v>
      </c>
      <c r="I2719" s="1" t="s">
        <v>12</v>
      </c>
      <c r="J2719" s="1" t="s">
        <v>212</v>
      </c>
      <c r="K2719" s="1" t="s">
        <v>14</v>
      </c>
      <c r="L2719" s="1" t="s">
        <v>12</v>
      </c>
      <c r="M2719" s="1" t="s">
        <v>12</v>
      </c>
      <c r="N2719" s="1">
        <v>33.18</v>
      </c>
      <c r="O2719" s="1" t="s">
        <v>29</v>
      </c>
      <c r="P2719" s="1" t="s">
        <v>37</v>
      </c>
      <c r="Q2719" s="1" t="s">
        <v>16</v>
      </c>
      <c r="R2719" s="1" t="str">
        <f>IF(N2719="","",VLOOKUP(N2719,Prior_levels,2,TRUE))</f>
        <v>H</v>
      </c>
    </row>
    <row r="2720" spans="1:18" x14ac:dyDescent="0.2">
      <c r="A2720" s="1" t="s">
        <v>280</v>
      </c>
      <c r="B2720" s="1" t="s">
        <v>10</v>
      </c>
      <c r="C2720" s="2">
        <v>41155</v>
      </c>
      <c r="D2720" s="1">
        <v>10</v>
      </c>
      <c r="E2720" s="1" t="s">
        <v>11</v>
      </c>
      <c r="H2720" s="1" t="s">
        <v>54</v>
      </c>
      <c r="I2720" s="1" t="s">
        <v>12</v>
      </c>
      <c r="J2720" s="1" t="s">
        <v>212</v>
      </c>
      <c r="K2720" s="1" t="s">
        <v>14</v>
      </c>
      <c r="L2720" s="1" t="s">
        <v>12</v>
      </c>
      <c r="M2720" s="1" t="s">
        <v>12</v>
      </c>
      <c r="N2720" s="1">
        <v>33.18</v>
      </c>
      <c r="O2720" s="1" t="s">
        <v>30</v>
      </c>
      <c r="P2720" s="1" t="s">
        <v>37</v>
      </c>
      <c r="Q2720" s="1" t="s">
        <v>16</v>
      </c>
      <c r="R2720" s="1" t="str">
        <f>IF(N2720="","",VLOOKUP(N2720,Prior_levels,2,TRUE))</f>
        <v>H</v>
      </c>
    </row>
    <row r="2721" spans="1:18" x14ac:dyDescent="0.2">
      <c r="A2721" s="1" t="s">
        <v>280</v>
      </c>
      <c r="B2721" s="1" t="s">
        <v>10</v>
      </c>
      <c r="C2721" s="2">
        <v>41155</v>
      </c>
      <c r="D2721" s="1">
        <v>10</v>
      </c>
      <c r="E2721" s="1" t="s">
        <v>11</v>
      </c>
      <c r="H2721" s="1" t="s">
        <v>54</v>
      </c>
      <c r="I2721" s="1" t="s">
        <v>12</v>
      </c>
      <c r="J2721" s="1" t="s">
        <v>212</v>
      </c>
      <c r="K2721" s="1" t="s">
        <v>14</v>
      </c>
      <c r="L2721" s="1" t="s">
        <v>12</v>
      </c>
      <c r="M2721" s="1" t="s">
        <v>12</v>
      </c>
      <c r="N2721" s="1">
        <v>33.18</v>
      </c>
      <c r="O2721" s="1" t="s">
        <v>31</v>
      </c>
      <c r="P2721" s="1" t="s">
        <v>37</v>
      </c>
      <c r="Q2721" s="1" t="s">
        <v>16</v>
      </c>
      <c r="R2721" s="1" t="str">
        <f>IF(N2721="","",VLOOKUP(N2721,Prior_levels,2,TRUE))</f>
        <v>H</v>
      </c>
    </row>
    <row r="2722" spans="1:18" x14ac:dyDescent="0.2">
      <c r="A2722" s="1" t="s">
        <v>281</v>
      </c>
      <c r="B2722" s="1" t="s">
        <v>12</v>
      </c>
      <c r="C2722" s="2">
        <v>41155</v>
      </c>
      <c r="D2722" s="1">
        <v>10</v>
      </c>
      <c r="E2722" s="1" t="s">
        <v>11</v>
      </c>
      <c r="H2722" s="1" t="s">
        <v>54</v>
      </c>
      <c r="I2722" s="1" t="s">
        <v>12</v>
      </c>
      <c r="J2722" s="1" t="s">
        <v>40</v>
      </c>
      <c r="K2722" s="1" t="s">
        <v>14</v>
      </c>
      <c r="L2722" s="1" t="s">
        <v>12</v>
      </c>
      <c r="M2722" s="1" t="s">
        <v>12</v>
      </c>
      <c r="N2722" s="1">
        <v>33.18</v>
      </c>
      <c r="O2722" s="1" t="s">
        <v>15</v>
      </c>
      <c r="P2722" s="1">
        <v>4.5</v>
      </c>
      <c r="Q2722" s="1" t="s">
        <v>16</v>
      </c>
      <c r="R2722" s="1" t="str">
        <f>IF(N2722="","",VLOOKUP(N2722,Prior_levels,2,TRUE))</f>
        <v>H</v>
      </c>
    </row>
    <row r="2723" spans="1:18" x14ac:dyDescent="0.2">
      <c r="A2723" s="1" t="s">
        <v>281</v>
      </c>
      <c r="B2723" s="1" t="s">
        <v>12</v>
      </c>
      <c r="C2723" s="2">
        <v>41155</v>
      </c>
      <c r="D2723" s="1">
        <v>10</v>
      </c>
      <c r="E2723" s="1" t="s">
        <v>11</v>
      </c>
      <c r="H2723" s="1" t="s">
        <v>54</v>
      </c>
      <c r="I2723" s="1" t="s">
        <v>12</v>
      </c>
      <c r="J2723" s="1" t="s">
        <v>40</v>
      </c>
      <c r="K2723" s="1" t="s">
        <v>14</v>
      </c>
      <c r="L2723" s="1" t="s">
        <v>12</v>
      </c>
      <c r="M2723" s="1" t="s">
        <v>12</v>
      </c>
      <c r="N2723" s="1">
        <v>33.18</v>
      </c>
      <c r="O2723" s="1" t="s">
        <v>17</v>
      </c>
      <c r="P2723" s="1">
        <v>-2.0499999999999998</v>
      </c>
      <c r="Q2723" s="1" t="s">
        <v>16</v>
      </c>
      <c r="R2723" s="1" t="str">
        <f>IF(N2723="","",VLOOKUP(N2723,Prior_levels,2,TRUE))</f>
        <v>H</v>
      </c>
    </row>
    <row r="2724" spans="1:18" x14ac:dyDescent="0.2">
      <c r="A2724" s="1" t="s">
        <v>281</v>
      </c>
      <c r="B2724" s="1" t="s">
        <v>12</v>
      </c>
      <c r="C2724" s="2">
        <v>41155</v>
      </c>
      <c r="D2724" s="1">
        <v>10</v>
      </c>
      <c r="E2724" s="1" t="s">
        <v>11</v>
      </c>
      <c r="H2724" s="1" t="s">
        <v>54</v>
      </c>
      <c r="I2724" s="1" t="s">
        <v>12</v>
      </c>
      <c r="J2724" s="1" t="s">
        <v>40</v>
      </c>
      <c r="K2724" s="1" t="s">
        <v>14</v>
      </c>
      <c r="L2724" s="1" t="s">
        <v>12</v>
      </c>
      <c r="M2724" s="1" t="s">
        <v>12</v>
      </c>
      <c r="N2724" s="1">
        <v>33.18</v>
      </c>
      <c r="O2724" s="1" t="s">
        <v>18</v>
      </c>
      <c r="P2724" s="1">
        <v>10</v>
      </c>
      <c r="Q2724" s="1" t="s">
        <v>16</v>
      </c>
      <c r="R2724" s="1" t="str">
        <f>IF(N2724="","",VLOOKUP(N2724,Prior_levels,2,TRUE))</f>
        <v>H</v>
      </c>
    </row>
    <row r="2725" spans="1:18" x14ac:dyDescent="0.2">
      <c r="A2725" s="1" t="s">
        <v>281</v>
      </c>
      <c r="B2725" s="1" t="s">
        <v>12</v>
      </c>
      <c r="C2725" s="2">
        <v>41155</v>
      </c>
      <c r="D2725" s="1">
        <v>10</v>
      </c>
      <c r="E2725" s="1" t="s">
        <v>11</v>
      </c>
      <c r="H2725" s="1" t="s">
        <v>54</v>
      </c>
      <c r="I2725" s="1" t="s">
        <v>12</v>
      </c>
      <c r="J2725" s="1" t="s">
        <v>40</v>
      </c>
      <c r="K2725" s="1" t="s">
        <v>14</v>
      </c>
      <c r="L2725" s="1" t="s">
        <v>12</v>
      </c>
      <c r="M2725" s="1" t="s">
        <v>12</v>
      </c>
      <c r="N2725" s="1">
        <v>33.18</v>
      </c>
      <c r="O2725" s="1" t="s">
        <v>19</v>
      </c>
      <c r="P2725" s="1">
        <v>10</v>
      </c>
      <c r="Q2725" s="1" t="s">
        <v>16</v>
      </c>
      <c r="R2725" s="1" t="str">
        <f>IF(N2725="","",VLOOKUP(N2725,Prior_levels,2,TRUE))</f>
        <v>H</v>
      </c>
    </row>
    <row r="2726" spans="1:18" x14ac:dyDescent="0.2">
      <c r="A2726" s="1" t="s">
        <v>281</v>
      </c>
      <c r="B2726" s="1" t="s">
        <v>12</v>
      </c>
      <c r="C2726" s="2">
        <v>41155</v>
      </c>
      <c r="D2726" s="1">
        <v>10</v>
      </c>
      <c r="E2726" s="1" t="s">
        <v>11</v>
      </c>
      <c r="H2726" s="1" t="s">
        <v>54</v>
      </c>
      <c r="I2726" s="1" t="s">
        <v>12</v>
      </c>
      <c r="J2726" s="1" t="s">
        <v>40</v>
      </c>
      <c r="K2726" s="1" t="s">
        <v>14</v>
      </c>
      <c r="L2726" s="1" t="s">
        <v>12</v>
      </c>
      <c r="M2726" s="1" t="s">
        <v>12</v>
      </c>
      <c r="N2726" s="1">
        <v>33.18</v>
      </c>
      <c r="O2726" s="1" t="s">
        <v>20</v>
      </c>
      <c r="P2726" s="1">
        <v>12</v>
      </c>
      <c r="Q2726" s="1" t="s">
        <v>16</v>
      </c>
      <c r="R2726" s="1" t="str">
        <f>IF(N2726="","",VLOOKUP(N2726,Prior_levels,2,TRUE))</f>
        <v>H</v>
      </c>
    </row>
    <row r="2727" spans="1:18" x14ac:dyDescent="0.2">
      <c r="A2727" s="1" t="s">
        <v>281</v>
      </c>
      <c r="B2727" s="1" t="s">
        <v>12</v>
      </c>
      <c r="C2727" s="2">
        <v>41155</v>
      </c>
      <c r="D2727" s="1">
        <v>10</v>
      </c>
      <c r="E2727" s="1" t="s">
        <v>11</v>
      </c>
      <c r="H2727" s="1" t="s">
        <v>54</v>
      </c>
      <c r="I2727" s="1" t="s">
        <v>12</v>
      </c>
      <c r="J2727" s="1" t="s">
        <v>40</v>
      </c>
      <c r="K2727" s="1" t="s">
        <v>14</v>
      </c>
      <c r="L2727" s="1" t="s">
        <v>12</v>
      </c>
      <c r="M2727" s="1" t="s">
        <v>12</v>
      </c>
      <c r="N2727" s="1">
        <v>33.18</v>
      </c>
      <c r="O2727" s="1" t="s">
        <v>21</v>
      </c>
      <c r="P2727" s="1">
        <v>13</v>
      </c>
      <c r="Q2727" s="1" t="s">
        <v>16</v>
      </c>
      <c r="R2727" s="1" t="str">
        <f>IF(N2727="","",VLOOKUP(N2727,Prior_levels,2,TRUE))</f>
        <v>H</v>
      </c>
    </row>
    <row r="2728" spans="1:18" x14ac:dyDescent="0.2">
      <c r="A2728" s="1" t="s">
        <v>281</v>
      </c>
      <c r="B2728" s="1" t="s">
        <v>12</v>
      </c>
      <c r="C2728" s="2">
        <v>41155</v>
      </c>
      <c r="D2728" s="1">
        <v>10</v>
      </c>
      <c r="E2728" s="1" t="s">
        <v>11</v>
      </c>
      <c r="H2728" s="1" t="s">
        <v>54</v>
      </c>
      <c r="I2728" s="1" t="s">
        <v>12</v>
      </c>
      <c r="J2728" s="1" t="s">
        <v>40</v>
      </c>
      <c r="K2728" s="1" t="s">
        <v>14</v>
      </c>
      <c r="L2728" s="1" t="s">
        <v>12</v>
      </c>
      <c r="M2728" s="1" t="s">
        <v>12</v>
      </c>
      <c r="N2728" s="1">
        <v>33.18</v>
      </c>
      <c r="O2728" s="1" t="s">
        <v>22</v>
      </c>
      <c r="P2728" s="1">
        <v>-1.64</v>
      </c>
      <c r="Q2728" s="1" t="s">
        <v>16</v>
      </c>
      <c r="R2728" s="1" t="str">
        <f>IF(N2728="","",VLOOKUP(N2728,Prior_levels,2,TRUE))</f>
        <v>H</v>
      </c>
    </row>
    <row r="2729" spans="1:18" x14ac:dyDescent="0.2">
      <c r="A2729" s="1" t="s">
        <v>281</v>
      </c>
      <c r="B2729" s="1" t="s">
        <v>12</v>
      </c>
      <c r="C2729" s="2">
        <v>41155</v>
      </c>
      <c r="D2729" s="1">
        <v>10</v>
      </c>
      <c r="E2729" s="1" t="s">
        <v>11</v>
      </c>
      <c r="H2729" s="1" t="s">
        <v>54</v>
      </c>
      <c r="I2729" s="1" t="s">
        <v>12</v>
      </c>
      <c r="J2729" s="1" t="s">
        <v>40</v>
      </c>
      <c r="K2729" s="1" t="s">
        <v>14</v>
      </c>
      <c r="L2729" s="1" t="s">
        <v>12</v>
      </c>
      <c r="M2729" s="1" t="s">
        <v>12</v>
      </c>
      <c r="N2729" s="1">
        <v>33.18</v>
      </c>
      <c r="O2729" s="1" t="s">
        <v>23</v>
      </c>
      <c r="P2729" s="1">
        <v>-1.66</v>
      </c>
      <c r="Q2729" s="1" t="s">
        <v>16</v>
      </c>
      <c r="R2729" s="1" t="str">
        <f>IF(N2729="","",VLOOKUP(N2729,Prior_levels,2,TRUE))</f>
        <v>H</v>
      </c>
    </row>
    <row r="2730" spans="1:18" x14ac:dyDescent="0.2">
      <c r="A2730" s="1" t="s">
        <v>281</v>
      </c>
      <c r="B2730" s="1" t="s">
        <v>12</v>
      </c>
      <c r="C2730" s="2">
        <v>41155</v>
      </c>
      <c r="D2730" s="1">
        <v>10</v>
      </c>
      <c r="E2730" s="1" t="s">
        <v>11</v>
      </c>
      <c r="H2730" s="1" t="s">
        <v>54</v>
      </c>
      <c r="I2730" s="1" t="s">
        <v>12</v>
      </c>
      <c r="J2730" s="1" t="s">
        <v>40</v>
      </c>
      <c r="K2730" s="1" t="s">
        <v>14</v>
      </c>
      <c r="L2730" s="1" t="s">
        <v>12</v>
      </c>
      <c r="M2730" s="1" t="s">
        <v>12</v>
      </c>
      <c r="N2730" s="1">
        <v>33.18</v>
      </c>
      <c r="O2730" s="1" t="s">
        <v>24</v>
      </c>
      <c r="P2730" s="1">
        <v>-7.27</v>
      </c>
      <c r="Q2730" s="1" t="s">
        <v>16</v>
      </c>
      <c r="R2730" s="1" t="str">
        <f>IF(N2730="","",VLOOKUP(N2730,Prior_levels,2,TRUE))</f>
        <v>H</v>
      </c>
    </row>
    <row r="2731" spans="1:18" x14ac:dyDescent="0.2">
      <c r="A2731" s="1" t="s">
        <v>281</v>
      </c>
      <c r="B2731" s="1" t="s">
        <v>12</v>
      </c>
      <c r="C2731" s="2">
        <v>41155</v>
      </c>
      <c r="D2731" s="1">
        <v>10</v>
      </c>
      <c r="E2731" s="1" t="s">
        <v>11</v>
      </c>
      <c r="H2731" s="1" t="s">
        <v>54</v>
      </c>
      <c r="I2731" s="1" t="s">
        <v>12</v>
      </c>
      <c r="J2731" s="1" t="s">
        <v>40</v>
      </c>
      <c r="K2731" s="1" t="s">
        <v>14</v>
      </c>
      <c r="L2731" s="1" t="s">
        <v>12</v>
      </c>
      <c r="M2731" s="1" t="s">
        <v>12</v>
      </c>
      <c r="N2731" s="1">
        <v>33.18</v>
      </c>
      <c r="O2731" s="1" t="s">
        <v>25</v>
      </c>
      <c r="P2731" s="1">
        <v>-6.62</v>
      </c>
      <c r="Q2731" s="1" t="s">
        <v>16</v>
      </c>
      <c r="R2731" s="1" t="str">
        <f>IF(N2731="","",VLOOKUP(N2731,Prior_levels,2,TRUE))</f>
        <v>H</v>
      </c>
    </row>
    <row r="2732" spans="1:18" x14ac:dyDescent="0.2">
      <c r="A2732" s="1" t="s">
        <v>281</v>
      </c>
      <c r="B2732" s="1" t="s">
        <v>12</v>
      </c>
      <c r="C2732" s="2">
        <v>41155</v>
      </c>
      <c r="D2732" s="1">
        <v>10</v>
      </c>
      <c r="E2732" s="1" t="s">
        <v>11</v>
      </c>
      <c r="H2732" s="1" t="s">
        <v>54</v>
      </c>
      <c r="I2732" s="1" t="s">
        <v>12</v>
      </c>
      <c r="J2732" s="1" t="s">
        <v>40</v>
      </c>
      <c r="K2732" s="1" t="s">
        <v>14</v>
      </c>
      <c r="L2732" s="1" t="s">
        <v>12</v>
      </c>
      <c r="M2732" s="1" t="s">
        <v>12</v>
      </c>
      <c r="N2732" s="1">
        <v>33.18</v>
      </c>
      <c r="O2732" s="1" t="s">
        <v>26</v>
      </c>
      <c r="P2732" s="1">
        <v>9</v>
      </c>
      <c r="Q2732" s="1" t="s">
        <v>16</v>
      </c>
      <c r="R2732" s="1" t="str">
        <f>IF(N2732="","",VLOOKUP(N2732,Prior_levels,2,TRUE))</f>
        <v>H</v>
      </c>
    </row>
    <row r="2733" spans="1:18" x14ac:dyDescent="0.2">
      <c r="A2733" s="1" t="s">
        <v>281</v>
      </c>
      <c r="B2733" s="1" t="s">
        <v>12</v>
      </c>
      <c r="C2733" s="2">
        <v>41155</v>
      </c>
      <c r="D2733" s="1">
        <v>10</v>
      </c>
      <c r="E2733" s="1" t="s">
        <v>11</v>
      </c>
      <c r="H2733" s="1" t="s">
        <v>54</v>
      </c>
      <c r="I2733" s="1" t="s">
        <v>12</v>
      </c>
      <c r="J2733" s="1" t="s">
        <v>40</v>
      </c>
      <c r="K2733" s="1" t="s">
        <v>14</v>
      </c>
      <c r="L2733" s="1" t="s">
        <v>12</v>
      </c>
      <c r="M2733" s="1" t="s">
        <v>12</v>
      </c>
      <c r="N2733" s="1">
        <v>33.18</v>
      </c>
      <c r="O2733" s="1" t="s">
        <v>32</v>
      </c>
      <c r="P2733" s="1" t="s">
        <v>37</v>
      </c>
      <c r="Q2733" s="1" t="s">
        <v>16</v>
      </c>
      <c r="R2733" s="1" t="str">
        <f>IF(N2733="","",VLOOKUP(N2733,Prior_levels,2,TRUE))</f>
        <v>H</v>
      </c>
    </row>
    <row r="2734" spans="1:18" x14ac:dyDescent="0.2">
      <c r="A2734" s="1" t="s">
        <v>281</v>
      </c>
      <c r="B2734" s="1" t="s">
        <v>12</v>
      </c>
      <c r="C2734" s="2">
        <v>41155</v>
      </c>
      <c r="D2734" s="1">
        <v>10</v>
      </c>
      <c r="E2734" s="1" t="s">
        <v>11</v>
      </c>
      <c r="H2734" s="1" t="s">
        <v>54</v>
      </c>
      <c r="I2734" s="1" t="s">
        <v>12</v>
      </c>
      <c r="J2734" s="1" t="s">
        <v>40</v>
      </c>
      <c r="K2734" s="1" t="s">
        <v>14</v>
      </c>
      <c r="L2734" s="1" t="s">
        <v>12</v>
      </c>
      <c r="M2734" s="1" t="s">
        <v>12</v>
      </c>
      <c r="N2734" s="1">
        <v>33.18</v>
      </c>
      <c r="O2734" s="1" t="s">
        <v>27</v>
      </c>
      <c r="P2734" s="1" t="s">
        <v>37</v>
      </c>
      <c r="Q2734" s="1" t="s">
        <v>16</v>
      </c>
      <c r="R2734" s="1" t="str">
        <f>IF(N2734="","",VLOOKUP(N2734,Prior_levels,2,TRUE))</f>
        <v>H</v>
      </c>
    </row>
    <row r="2735" spans="1:18" x14ac:dyDescent="0.2">
      <c r="A2735" s="1" t="s">
        <v>281</v>
      </c>
      <c r="B2735" s="1" t="s">
        <v>12</v>
      </c>
      <c r="C2735" s="2">
        <v>41155</v>
      </c>
      <c r="D2735" s="1">
        <v>10</v>
      </c>
      <c r="E2735" s="1" t="s">
        <v>11</v>
      </c>
      <c r="H2735" s="1" t="s">
        <v>54</v>
      </c>
      <c r="I2735" s="1" t="s">
        <v>12</v>
      </c>
      <c r="J2735" s="1" t="s">
        <v>40</v>
      </c>
      <c r="K2735" s="1" t="s">
        <v>14</v>
      </c>
      <c r="L2735" s="1" t="s">
        <v>12</v>
      </c>
      <c r="M2735" s="1" t="s">
        <v>12</v>
      </c>
      <c r="N2735" s="1">
        <v>33.18</v>
      </c>
      <c r="O2735" s="1" t="s">
        <v>29</v>
      </c>
      <c r="P2735" s="1" t="s">
        <v>37</v>
      </c>
      <c r="Q2735" s="1" t="s">
        <v>16</v>
      </c>
      <c r="R2735" s="1" t="str">
        <f>IF(N2735="","",VLOOKUP(N2735,Prior_levels,2,TRUE))</f>
        <v>H</v>
      </c>
    </row>
    <row r="2736" spans="1:18" x14ac:dyDescent="0.2">
      <c r="A2736" s="1" t="s">
        <v>281</v>
      </c>
      <c r="B2736" s="1" t="s">
        <v>12</v>
      </c>
      <c r="C2736" s="2">
        <v>41155</v>
      </c>
      <c r="D2736" s="1">
        <v>10</v>
      </c>
      <c r="E2736" s="1" t="s">
        <v>11</v>
      </c>
      <c r="H2736" s="1" t="s">
        <v>54</v>
      </c>
      <c r="I2736" s="1" t="s">
        <v>12</v>
      </c>
      <c r="J2736" s="1" t="s">
        <v>40</v>
      </c>
      <c r="K2736" s="1" t="s">
        <v>14</v>
      </c>
      <c r="L2736" s="1" t="s">
        <v>12</v>
      </c>
      <c r="M2736" s="1" t="s">
        <v>12</v>
      </c>
      <c r="N2736" s="1">
        <v>33.18</v>
      </c>
      <c r="O2736" s="1" t="s">
        <v>30</v>
      </c>
      <c r="P2736" s="1" t="s">
        <v>37</v>
      </c>
      <c r="Q2736" s="1" t="s">
        <v>16</v>
      </c>
      <c r="R2736" s="1" t="str">
        <f>IF(N2736="","",VLOOKUP(N2736,Prior_levels,2,TRUE))</f>
        <v>H</v>
      </c>
    </row>
    <row r="2737" spans="1:18" x14ac:dyDescent="0.2">
      <c r="A2737" s="1" t="s">
        <v>281</v>
      </c>
      <c r="B2737" s="1" t="s">
        <v>12</v>
      </c>
      <c r="C2737" s="2">
        <v>41155</v>
      </c>
      <c r="D2737" s="1">
        <v>10</v>
      </c>
      <c r="E2737" s="1" t="s">
        <v>11</v>
      </c>
      <c r="H2737" s="1" t="s">
        <v>54</v>
      </c>
      <c r="I2737" s="1" t="s">
        <v>12</v>
      </c>
      <c r="J2737" s="1" t="s">
        <v>40</v>
      </c>
      <c r="K2737" s="1" t="s">
        <v>14</v>
      </c>
      <c r="L2737" s="1" t="s">
        <v>12</v>
      </c>
      <c r="M2737" s="1" t="s">
        <v>12</v>
      </c>
      <c r="N2737" s="1">
        <v>33.18</v>
      </c>
      <c r="O2737" s="1" t="s">
        <v>31</v>
      </c>
      <c r="P2737" s="1" t="s">
        <v>28</v>
      </c>
      <c r="Q2737" s="1" t="s">
        <v>16</v>
      </c>
      <c r="R2737" s="1" t="str">
        <f>IF(N2737="","",VLOOKUP(N2737,Prior_levels,2,TRUE))</f>
        <v>H</v>
      </c>
    </row>
    <row r="2738" spans="1:18" x14ac:dyDescent="0.2">
      <c r="A2738" s="1" t="s">
        <v>282</v>
      </c>
      <c r="B2738" s="1" t="s">
        <v>12</v>
      </c>
      <c r="C2738" s="2">
        <v>41155</v>
      </c>
      <c r="D2738" s="1">
        <v>10</v>
      </c>
      <c r="E2738" s="1" t="s">
        <v>47</v>
      </c>
      <c r="F2738" s="1" t="s">
        <v>28</v>
      </c>
      <c r="H2738" s="1" t="s">
        <v>48</v>
      </c>
      <c r="I2738" s="1" t="s">
        <v>12</v>
      </c>
      <c r="J2738" s="1" t="s">
        <v>283</v>
      </c>
      <c r="K2738" s="1" t="s">
        <v>213</v>
      </c>
      <c r="L2738" s="1" t="s">
        <v>12</v>
      </c>
      <c r="M2738" s="1" t="s">
        <v>12</v>
      </c>
      <c r="N2738" s="1">
        <v>27.12</v>
      </c>
      <c r="O2738" s="1" t="s">
        <v>15</v>
      </c>
      <c r="P2738" s="1">
        <v>4.2</v>
      </c>
      <c r="Q2738" s="1" t="s">
        <v>16</v>
      </c>
      <c r="R2738" s="1" t="str">
        <f>IF(N2738="","",VLOOKUP(N2738,Prior_levels,2,TRUE))</f>
        <v>M</v>
      </c>
    </row>
    <row r="2739" spans="1:18" x14ac:dyDescent="0.2">
      <c r="A2739" s="1" t="s">
        <v>282</v>
      </c>
      <c r="B2739" s="1" t="s">
        <v>12</v>
      </c>
      <c r="C2739" s="2">
        <v>41155</v>
      </c>
      <c r="D2739" s="1">
        <v>10</v>
      </c>
      <c r="E2739" s="1" t="s">
        <v>47</v>
      </c>
      <c r="F2739" s="1" t="s">
        <v>28</v>
      </c>
      <c r="H2739" s="1" t="s">
        <v>48</v>
      </c>
      <c r="I2739" s="1" t="s">
        <v>12</v>
      </c>
      <c r="J2739" s="1" t="s">
        <v>283</v>
      </c>
      <c r="K2739" s="1" t="s">
        <v>213</v>
      </c>
      <c r="L2739" s="1" t="s">
        <v>12</v>
      </c>
      <c r="M2739" s="1" t="s">
        <v>12</v>
      </c>
      <c r="N2739" s="1">
        <v>27.12</v>
      </c>
      <c r="O2739" s="1" t="s">
        <v>17</v>
      </c>
      <c r="P2739" s="1">
        <v>-0.35</v>
      </c>
      <c r="Q2739" s="1" t="s">
        <v>16</v>
      </c>
      <c r="R2739" s="1" t="str">
        <f>IF(N2739="","",VLOOKUP(N2739,Prior_levels,2,TRUE))</f>
        <v>M</v>
      </c>
    </row>
    <row r="2740" spans="1:18" x14ac:dyDescent="0.2">
      <c r="A2740" s="1" t="s">
        <v>282</v>
      </c>
      <c r="B2740" s="1" t="s">
        <v>12</v>
      </c>
      <c r="C2740" s="2">
        <v>41155</v>
      </c>
      <c r="D2740" s="1">
        <v>10</v>
      </c>
      <c r="E2740" s="1" t="s">
        <v>47</v>
      </c>
      <c r="F2740" s="1" t="s">
        <v>28</v>
      </c>
      <c r="H2740" s="1" t="s">
        <v>48</v>
      </c>
      <c r="I2740" s="1" t="s">
        <v>12</v>
      </c>
      <c r="J2740" s="1" t="s">
        <v>283</v>
      </c>
      <c r="K2740" s="1" t="s">
        <v>213</v>
      </c>
      <c r="L2740" s="1" t="s">
        <v>12</v>
      </c>
      <c r="M2740" s="1" t="s">
        <v>12</v>
      </c>
      <c r="N2740" s="1">
        <v>27.12</v>
      </c>
      <c r="O2740" s="1" t="s">
        <v>18</v>
      </c>
      <c r="P2740" s="1">
        <v>8</v>
      </c>
      <c r="Q2740" s="1" t="s">
        <v>16</v>
      </c>
      <c r="R2740" s="1" t="str">
        <f>IF(N2740="","",VLOOKUP(N2740,Prior_levels,2,TRUE))</f>
        <v>M</v>
      </c>
    </row>
    <row r="2741" spans="1:18" x14ac:dyDescent="0.2">
      <c r="A2741" s="1" t="s">
        <v>282</v>
      </c>
      <c r="B2741" s="1" t="s">
        <v>12</v>
      </c>
      <c r="C2741" s="2">
        <v>41155</v>
      </c>
      <c r="D2741" s="1">
        <v>10</v>
      </c>
      <c r="E2741" s="1" t="s">
        <v>47</v>
      </c>
      <c r="F2741" s="1" t="s">
        <v>28</v>
      </c>
      <c r="H2741" s="1" t="s">
        <v>48</v>
      </c>
      <c r="I2741" s="1" t="s">
        <v>12</v>
      </c>
      <c r="J2741" s="1" t="s">
        <v>283</v>
      </c>
      <c r="K2741" s="1" t="s">
        <v>213</v>
      </c>
      <c r="L2741" s="1" t="s">
        <v>12</v>
      </c>
      <c r="M2741" s="1" t="s">
        <v>12</v>
      </c>
      <c r="N2741" s="1">
        <v>27.12</v>
      </c>
      <c r="O2741" s="1" t="s">
        <v>19</v>
      </c>
      <c r="P2741" s="1">
        <v>10</v>
      </c>
      <c r="Q2741" s="1" t="s">
        <v>16</v>
      </c>
      <c r="R2741" s="1" t="str">
        <f>IF(N2741="","",VLOOKUP(N2741,Prior_levels,2,TRUE))</f>
        <v>M</v>
      </c>
    </row>
    <row r="2742" spans="1:18" x14ac:dyDescent="0.2">
      <c r="A2742" s="1" t="s">
        <v>282</v>
      </c>
      <c r="B2742" s="1" t="s">
        <v>12</v>
      </c>
      <c r="C2742" s="2">
        <v>41155</v>
      </c>
      <c r="D2742" s="1">
        <v>10</v>
      </c>
      <c r="E2742" s="1" t="s">
        <v>47</v>
      </c>
      <c r="F2742" s="1" t="s">
        <v>28</v>
      </c>
      <c r="H2742" s="1" t="s">
        <v>48</v>
      </c>
      <c r="I2742" s="1" t="s">
        <v>12</v>
      </c>
      <c r="J2742" s="1" t="s">
        <v>283</v>
      </c>
      <c r="K2742" s="1" t="s">
        <v>213</v>
      </c>
      <c r="L2742" s="1" t="s">
        <v>12</v>
      </c>
      <c r="M2742" s="1" t="s">
        <v>12</v>
      </c>
      <c r="N2742" s="1">
        <v>27.12</v>
      </c>
      <c r="O2742" s="1" t="s">
        <v>20</v>
      </c>
      <c r="P2742" s="1">
        <v>12</v>
      </c>
      <c r="Q2742" s="1" t="s">
        <v>16</v>
      </c>
      <c r="R2742" s="1" t="str">
        <f>IF(N2742="","",VLOOKUP(N2742,Prior_levels,2,TRUE))</f>
        <v>M</v>
      </c>
    </row>
    <row r="2743" spans="1:18" x14ac:dyDescent="0.2">
      <c r="A2743" s="1" t="s">
        <v>282</v>
      </c>
      <c r="B2743" s="1" t="s">
        <v>12</v>
      </c>
      <c r="C2743" s="2">
        <v>41155</v>
      </c>
      <c r="D2743" s="1">
        <v>10</v>
      </c>
      <c r="E2743" s="1" t="s">
        <v>47</v>
      </c>
      <c r="F2743" s="1" t="s">
        <v>28</v>
      </c>
      <c r="H2743" s="1" t="s">
        <v>48</v>
      </c>
      <c r="I2743" s="1" t="s">
        <v>12</v>
      </c>
      <c r="J2743" s="1" t="s">
        <v>283</v>
      </c>
      <c r="K2743" s="1" t="s">
        <v>213</v>
      </c>
      <c r="L2743" s="1" t="s">
        <v>12</v>
      </c>
      <c r="M2743" s="1" t="s">
        <v>12</v>
      </c>
      <c r="N2743" s="1">
        <v>27.12</v>
      </c>
      <c r="O2743" s="1" t="s">
        <v>21</v>
      </c>
      <c r="P2743" s="1">
        <v>12</v>
      </c>
      <c r="Q2743" s="1" t="s">
        <v>16</v>
      </c>
      <c r="R2743" s="1" t="str">
        <f>IF(N2743="","",VLOOKUP(N2743,Prior_levels,2,TRUE))</f>
        <v>M</v>
      </c>
    </row>
    <row r="2744" spans="1:18" x14ac:dyDescent="0.2">
      <c r="A2744" s="1" t="s">
        <v>282</v>
      </c>
      <c r="B2744" s="1" t="s">
        <v>12</v>
      </c>
      <c r="C2744" s="2">
        <v>41155</v>
      </c>
      <c r="D2744" s="1">
        <v>10</v>
      </c>
      <c r="E2744" s="1" t="s">
        <v>47</v>
      </c>
      <c r="F2744" s="1" t="s">
        <v>28</v>
      </c>
      <c r="H2744" s="1" t="s">
        <v>48</v>
      </c>
      <c r="I2744" s="1" t="s">
        <v>12</v>
      </c>
      <c r="J2744" s="1" t="s">
        <v>283</v>
      </c>
      <c r="K2744" s="1" t="s">
        <v>213</v>
      </c>
      <c r="L2744" s="1" t="s">
        <v>12</v>
      </c>
      <c r="M2744" s="1" t="s">
        <v>12</v>
      </c>
      <c r="N2744" s="1">
        <v>27.12</v>
      </c>
      <c r="O2744" s="1" t="s">
        <v>22</v>
      </c>
      <c r="P2744" s="1">
        <v>-1.05</v>
      </c>
      <c r="Q2744" s="1" t="s">
        <v>16</v>
      </c>
      <c r="R2744" s="1" t="str">
        <f>IF(N2744="","",VLOOKUP(N2744,Prior_levels,2,TRUE))</f>
        <v>M</v>
      </c>
    </row>
    <row r="2745" spans="1:18" x14ac:dyDescent="0.2">
      <c r="A2745" s="1" t="s">
        <v>282</v>
      </c>
      <c r="B2745" s="1" t="s">
        <v>12</v>
      </c>
      <c r="C2745" s="2">
        <v>41155</v>
      </c>
      <c r="D2745" s="1">
        <v>10</v>
      </c>
      <c r="E2745" s="1" t="s">
        <v>47</v>
      </c>
      <c r="F2745" s="1" t="s">
        <v>28</v>
      </c>
      <c r="H2745" s="1" t="s">
        <v>48</v>
      </c>
      <c r="I2745" s="1" t="s">
        <v>12</v>
      </c>
      <c r="J2745" s="1" t="s">
        <v>283</v>
      </c>
      <c r="K2745" s="1" t="s">
        <v>213</v>
      </c>
      <c r="L2745" s="1" t="s">
        <v>12</v>
      </c>
      <c r="M2745" s="1" t="s">
        <v>12</v>
      </c>
      <c r="N2745" s="1">
        <v>27.12</v>
      </c>
      <c r="O2745" s="1" t="s">
        <v>23</v>
      </c>
      <c r="P2745" s="1">
        <v>0.36</v>
      </c>
      <c r="Q2745" s="1" t="s">
        <v>16</v>
      </c>
      <c r="R2745" s="1" t="str">
        <f>IF(N2745="","",VLOOKUP(N2745,Prior_levels,2,TRUE))</f>
        <v>M</v>
      </c>
    </row>
    <row r="2746" spans="1:18" x14ac:dyDescent="0.2">
      <c r="A2746" s="1" t="s">
        <v>282</v>
      </c>
      <c r="B2746" s="1" t="s">
        <v>12</v>
      </c>
      <c r="C2746" s="2">
        <v>41155</v>
      </c>
      <c r="D2746" s="1">
        <v>10</v>
      </c>
      <c r="E2746" s="1" t="s">
        <v>47</v>
      </c>
      <c r="F2746" s="1" t="s">
        <v>28</v>
      </c>
      <c r="H2746" s="1" t="s">
        <v>48</v>
      </c>
      <c r="I2746" s="1" t="s">
        <v>12</v>
      </c>
      <c r="J2746" s="1" t="s">
        <v>283</v>
      </c>
      <c r="K2746" s="1" t="s">
        <v>213</v>
      </c>
      <c r="L2746" s="1" t="s">
        <v>12</v>
      </c>
      <c r="M2746" s="1" t="s">
        <v>12</v>
      </c>
      <c r="N2746" s="1">
        <v>27.12</v>
      </c>
      <c r="O2746" s="1" t="s">
        <v>25</v>
      </c>
      <c r="P2746" s="1">
        <v>-2.89</v>
      </c>
      <c r="Q2746" s="1" t="s">
        <v>16</v>
      </c>
      <c r="R2746" s="1" t="str">
        <f>IF(N2746="","",VLOOKUP(N2746,Prior_levels,2,TRUE))</f>
        <v>M</v>
      </c>
    </row>
    <row r="2747" spans="1:18" x14ac:dyDescent="0.2">
      <c r="A2747" s="1" t="s">
        <v>282</v>
      </c>
      <c r="B2747" s="1" t="s">
        <v>12</v>
      </c>
      <c r="C2747" s="2">
        <v>41155</v>
      </c>
      <c r="D2747" s="1">
        <v>10</v>
      </c>
      <c r="E2747" s="1" t="s">
        <v>47</v>
      </c>
      <c r="F2747" s="1" t="s">
        <v>28</v>
      </c>
      <c r="H2747" s="1" t="s">
        <v>48</v>
      </c>
      <c r="I2747" s="1" t="s">
        <v>12</v>
      </c>
      <c r="J2747" s="1" t="s">
        <v>283</v>
      </c>
      <c r="K2747" s="1" t="s">
        <v>213</v>
      </c>
      <c r="L2747" s="1" t="s">
        <v>12</v>
      </c>
      <c r="M2747" s="1" t="s">
        <v>12</v>
      </c>
      <c r="N2747" s="1">
        <v>27.12</v>
      </c>
      <c r="O2747" s="1" t="s">
        <v>26</v>
      </c>
      <c r="P2747" s="1">
        <v>8</v>
      </c>
      <c r="Q2747" s="1" t="s">
        <v>16</v>
      </c>
      <c r="R2747" s="1" t="str">
        <f>IF(N2747="","",VLOOKUP(N2747,Prior_levels,2,TRUE))</f>
        <v>M</v>
      </c>
    </row>
    <row r="2748" spans="1:18" x14ac:dyDescent="0.2">
      <c r="A2748" s="1" t="s">
        <v>282</v>
      </c>
      <c r="B2748" s="1" t="s">
        <v>12</v>
      </c>
      <c r="C2748" s="2">
        <v>41155</v>
      </c>
      <c r="D2748" s="1">
        <v>10</v>
      </c>
      <c r="E2748" s="1" t="s">
        <v>47</v>
      </c>
      <c r="F2748" s="1" t="s">
        <v>28</v>
      </c>
      <c r="H2748" s="1" t="s">
        <v>48</v>
      </c>
      <c r="I2748" s="1" t="s">
        <v>12</v>
      </c>
      <c r="J2748" s="1" t="s">
        <v>283</v>
      </c>
      <c r="K2748" s="1" t="s">
        <v>213</v>
      </c>
      <c r="L2748" s="1" t="s">
        <v>12</v>
      </c>
      <c r="M2748" s="1" t="s">
        <v>12</v>
      </c>
      <c r="N2748" s="1">
        <v>27.12</v>
      </c>
      <c r="O2748" s="1" t="s">
        <v>24</v>
      </c>
      <c r="P2748" s="1">
        <v>0.75</v>
      </c>
      <c r="Q2748" s="1" t="s">
        <v>16</v>
      </c>
      <c r="R2748" s="1" t="str">
        <f>IF(N2748="","",VLOOKUP(N2748,Prior_levels,2,TRUE))</f>
        <v>M</v>
      </c>
    </row>
    <row r="2749" spans="1:18" x14ac:dyDescent="0.2">
      <c r="A2749" s="1" t="s">
        <v>282</v>
      </c>
      <c r="B2749" s="1" t="s">
        <v>12</v>
      </c>
      <c r="C2749" s="2">
        <v>41155</v>
      </c>
      <c r="D2749" s="1">
        <v>10</v>
      </c>
      <c r="E2749" s="1" t="s">
        <v>47</v>
      </c>
      <c r="F2749" s="1" t="s">
        <v>28</v>
      </c>
      <c r="H2749" s="1" t="s">
        <v>48</v>
      </c>
      <c r="I2749" s="1" t="s">
        <v>12</v>
      </c>
      <c r="J2749" s="1" t="s">
        <v>283</v>
      </c>
      <c r="K2749" s="1" t="s">
        <v>213</v>
      </c>
      <c r="L2749" s="1" t="s">
        <v>12</v>
      </c>
      <c r="M2749" s="1" t="s">
        <v>12</v>
      </c>
      <c r="N2749" s="1">
        <v>27.12</v>
      </c>
      <c r="O2749" s="1" t="s">
        <v>32</v>
      </c>
      <c r="P2749" s="1" t="s">
        <v>28</v>
      </c>
      <c r="Q2749" s="1" t="s">
        <v>16</v>
      </c>
      <c r="R2749" s="1" t="str">
        <f>IF(N2749="","",VLOOKUP(N2749,Prior_levels,2,TRUE))</f>
        <v>M</v>
      </c>
    </row>
    <row r="2750" spans="1:18" x14ac:dyDescent="0.2">
      <c r="A2750" s="1" t="s">
        <v>282</v>
      </c>
      <c r="B2750" s="1" t="s">
        <v>12</v>
      </c>
      <c r="C2750" s="2">
        <v>41155</v>
      </c>
      <c r="D2750" s="1">
        <v>10</v>
      </c>
      <c r="E2750" s="1" t="s">
        <v>47</v>
      </c>
      <c r="F2750" s="1" t="s">
        <v>28</v>
      </c>
      <c r="H2750" s="1" t="s">
        <v>48</v>
      </c>
      <c r="I2750" s="1" t="s">
        <v>12</v>
      </c>
      <c r="J2750" s="1" t="s">
        <v>283</v>
      </c>
      <c r="K2750" s="1" t="s">
        <v>213</v>
      </c>
      <c r="L2750" s="1" t="s">
        <v>12</v>
      </c>
      <c r="M2750" s="1" t="s">
        <v>12</v>
      </c>
      <c r="N2750" s="1">
        <v>27.12</v>
      </c>
      <c r="O2750" s="1" t="s">
        <v>27</v>
      </c>
      <c r="P2750" s="1" t="s">
        <v>37</v>
      </c>
      <c r="Q2750" s="1" t="s">
        <v>16</v>
      </c>
      <c r="R2750" s="1" t="str">
        <f>IF(N2750="","",VLOOKUP(N2750,Prior_levels,2,TRUE))</f>
        <v>M</v>
      </c>
    </row>
    <row r="2751" spans="1:18" x14ac:dyDescent="0.2">
      <c r="A2751" s="1" t="s">
        <v>282</v>
      </c>
      <c r="B2751" s="1" t="s">
        <v>12</v>
      </c>
      <c r="C2751" s="2">
        <v>41155</v>
      </c>
      <c r="D2751" s="1">
        <v>10</v>
      </c>
      <c r="E2751" s="1" t="s">
        <v>47</v>
      </c>
      <c r="F2751" s="1" t="s">
        <v>28</v>
      </c>
      <c r="H2751" s="1" t="s">
        <v>48</v>
      </c>
      <c r="I2751" s="1" t="s">
        <v>12</v>
      </c>
      <c r="J2751" s="1" t="s">
        <v>283</v>
      </c>
      <c r="K2751" s="1" t="s">
        <v>213</v>
      </c>
      <c r="L2751" s="1" t="s">
        <v>12</v>
      </c>
      <c r="M2751" s="1" t="s">
        <v>12</v>
      </c>
      <c r="N2751" s="1">
        <v>27.12</v>
      </c>
      <c r="O2751" s="1" t="s">
        <v>29</v>
      </c>
      <c r="P2751" s="1" t="s">
        <v>28</v>
      </c>
      <c r="Q2751" s="1" t="s">
        <v>16</v>
      </c>
      <c r="R2751" s="1" t="str">
        <f>IF(N2751="","",VLOOKUP(N2751,Prior_levels,2,TRUE))</f>
        <v>M</v>
      </c>
    </row>
    <row r="2752" spans="1:18" x14ac:dyDescent="0.2">
      <c r="A2752" s="1" t="s">
        <v>282</v>
      </c>
      <c r="B2752" s="1" t="s">
        <v>12</v>
      </c>
      <c r="C2752" s="2">
        <v>41155</v>
      </c>
      <c r="D2752" s="1">
        <v>10</v>
      </c>
      <c r="E2752" s="1" t="s">
        <v>47</v>
      </c>
      <c r="F2752" s="1" t="s">
        <v>28</v>
      </c>
      <c r="H2752" s="1" t="s">
        <v>48</v>
      </c>
      <c r="I2752" s="1" t="s">
        <v>12</v>
      </c>
      <c r="J2752" s="1" t="s">
        <v>283</v>
      </c>
      <c r="K2752" s="1" t="s">
        <v>213</v>
      </c>
      <c r="L2752" s="1" t="s">
        <v>12</v>
      </c>
      <c r="M2752" s="1" t="s">
        <v>12</v>
      </c>
      <c r="N2752" s="1">
        <v>27.12</v>
      </c>
      <c r="O2752" s="1" t="s">
        <v>30</v>
      </c>
      <c r="P2752" s="1" t="s">
        <v>28</v>
      </c>
      <c r="Q2752" s="1" t="s">
        <v>16</v>
      </c>
      <c r="R2752" s="1" t="str">
        <f>IF(N2752="","",VLOOKUP(N2752,Prior_levels,2,TRUE))</f>
        <v>M</v>
      </c>
    </row>
    <row r="2753" spans="1:18" x14ac:dyDescent="0.2">
      <c r="A2753" s="1" t="s">
        <v>282</v>
      </c>
      <c r="B2753" s="1" t="s">
        <v>12</v>
      </c>
      <c r="C2753" s="2">
        <v>41155</v>
      </c>
      <c r="D2753" s="1">
        <v>10</v>
      </c>
      <c r="E2753" s="1" t="s">
        <v>47</v>
      </c>
      <c r="F2753" s="1" t="s">
        <v>28</v>
      </c>
      <c r="H2753" s="1" t="s">
        <v>48</v>
      </c>
      <c r="I2753" s="1" t="s">
        <v>12</v>
      </c>
      <c r="J2753" s="1" t="s">
        <v>283</v>
      </c>
      <c r="K2753" s="1" t="s">
        <v>213</v>
      </c>
      <c r="L2753" s="1" t="s">
        <v>12</v>
      </c>
      <c r="M2753" s="1" t="s">
        <v>12</v>
      </c>
      <c r="N2753" s="1">
        <v>27.12</v>
      </c>
      <c r="O2753" s="1" t="s">
        <v>31</v>
      </c>
      <c r="P2753" s="1" t="s">
        <v>28</v>
      </c>
      <c r="Q2753" s="1" t="s">
        <v>16</v>
      </c>
      <c r="R2753" s="1" t="str">
        <f>IF(N2753="","",VLOOKUP(N2753,Prior_levels,2,TRUE))</f>
        <v>M</v>
      </c>
    </row>
    <row r="2754" spans="1:18" x14ac:dyDescent="0.2">
      <c r="A2754" s="1" t="s">
        <v>284</v>
      </c>
      <c r="B2754" s="1" t="s">
        <v>10</v>
      </c>
      <c r="C2754" s="2">
        <v>41155</v>
      </c>
      <c r="D2754" s="1">
        <v>10</v>
      </c>
      <c r="E2754" s="1" t="s">
        <v>42</v>
      </c>
      <c r="F2754" s="1" t="s">
        <v>28</v>
      </c>
      <c r="H2754" s="1" t="s">
        <v>48</v>
      </c>
      <c r="I2754" s="1" t="s">
        <v>12</v>
      </c>
      <c r="J2754" s="1" t="s">
        <v>262</v>
      </c>
      <c r="K2754" s="1" t="s">
        <v>262</v>
      </c>
      <c r="L2754" s="1" t="s">
        <v>12</v>
      </c>
      <c r="M2754" s="1" t="s">
        <v>12</v>
      </c>
      <c r="N2754" s="1">
        <v>27.12</v>
      </c>
      <c r="O2754" s="1" t="s">
        <v>15</v>
      </c>
      <c r="P2754" s="1">
        <v>4.2</v>
      </c>
      <c r="Q2754" s="1" t="s">
        <v>16</v>
      </c>
      <c r="R2754" s="1" t="str">
        <f>IF(N2754="","",VLOOKUP(N2754,Prior_levels,2,TRUE))</f>
        <v>M</v>
      </c>
    </row>
    <row r="2755" spans="1:18" x14ac:dyDescent="0.2">
      <c r="A2755" s="1" t="s">
        <v>284</v>
      </c>
      <c r="B2755" s="1" t="s">
        <v>10</v>
      </c>
      <c r="C2755" s="2">
        <v>41155</v>
      </c>
      <c r="D2755" s="1">
        <v>10</v>
      </c>
      <c r="E2755" s="1" t="s">
        <v>42</v>
      </c>
      <c r="F2755" s="1" t="s">
        <v>28</v>
      </c>
      <c r="H2755" s="1" t="s">
        <v>48</v>
      </c>
      <c r="I2755" s="1" t="s">
        <v>12</v>
      </c>
      <c r="J2755" s="1" t="s">
        <v>262</v>
      </c>
      <c r="K2755" s="1" t="s">
        <v>262</v>
      </c>
      <c r="L2755" s="1" t="s">
        <v>12</v>
      </c>
      <c r="M2755" s="1" t="s">
        <v>12</v>
      </c>
      <c r="N2755" s="1">
        <v>27.12</v>
      </c>
      <c r="O2755" s="1" t="s">
        <v>17</v>
      </c>
      <c r="P2755" s="1">
        <v>-0.35</v>
      </c>
      <c r="Q2755" s="1" t="s">
        <v>16</v>
      </c>
      <c r="R2755" s="1" t="str">
        <f>IF(N2755="","",VLOOKUP(N2755,Prior_levels,2,TRUE))</f>
        <v>M</v>
      </c>
    </row>
    <row r="2756" spans="1:18" x14ac:dyDescent="0.2">
      <c r="A2756" s="1" t="s">
        <v>284</v>
      </c>
      <c r="B2756" s="1" t="s">
        <v>10</v>
      </c>
      <c r="C2756" s="2">
        <v>41155</v>
      </c>
      <c r="D2756" s="1">
        <v>10</v>
      </c>
      <c r="E2756" s="1" t="s">
        <v>42</v>
      </c>
      <c r="F2756" s="1" t="s">
        <v>28</v>
      </c>
      <c r="H2756" s="1" t="s">
        <v>48</v>
      </c>
      <c r="I2756" s="1" t="s">
        <v>12</v>
      </c>
      <c r="J2756" s="1" t="s">
        <v>262</v>
      </c>
      <c r="K2756" s="1" t="s">
        <v>262</v>
      </c>
      <c r="L2756" s="1" t="s">
        <v>12</v>
      </c>
      <c r="M2756" s="1" t="s">
        <v>12</v>
      </c>
      <c r="N2756" s="1">
        <v>27.12</v>
      </c>
      <c r="O2756" s="1" t="s">
        <v>18</v>
      </c>
      <c r="P2756" s="1">
        <v>10</v>
      </c>
      <c r="Q2756" s="1" t="s">
        <v>16</v>
      </c>
      <c r="R2756" s="1" t="str">
        <f>IF(N2756="","",VLOOKUP(N2756,Prior_levels,2,TRUE))</f>
        <v>M</v>
      </c>
    </row>
    <row r="2757" spans="1:18" x14ac:dyDescent="0.2">
      <c r="A2757" s="1" t="s">
        <v>284</v>
      </c>
      <c r="B2757" s="1" t="s">
        <v>10</v>
      </c>
      <c r="C2757" s="2">
        <v>41155</v>
      </c>
      <c r="D2757" s="1">
        <v>10</v>
      </c>
      <c r="E2757" s="1" t="s">
        <v>42</v>
      </c>
      <c r="F2757" s="1" t="s">
        <v>28</v>
      </c>
      <c r="H2757" s="1" t="s">
        <v>48</v>
      </c>
      <c r="I2757" s="1" t="s">
        <v>12</v>
      </c>
      <c r="J2757" s="1" t="s">
        <v>262</v>
      </c>
      <c r="K2757" s="1" t="s">
        <v>262</v>
      </c>
      <c r="L2757" s="1" t="s">
        <v>12</v>
      </c>
      <c r="M2757" s="1" t="s">
        <v>12</v>
      </c>
      <c r="N2757" s="1">
        <v>27.12</v>
      </c>
      <c r="O2757" s="1" t="s">
        <v>19</v>
      </c>
      <c r="P2757" s="1">
        <v>8</v>
      </c>
      <c r="Q2757" s="1" t="s">
        <v>16</v>
      </c>
      <c r="R2757" s="1" t="str">
        <f>IF(N2757="","",VLOOKUP(N2757,Prior_levels,2,TRUE))</f>
        <v>M</v>
      </c>
    </row>
    <row r="2758" spans="1:18" x14ac:dyDescent="0.2">
      <c r="A2758" s="1" t="s">
        <v>284</v>
      </c>
      <c r="B2758" s="1" t="s">
        <v>10</v>
      </c>
      <c r="C2758" s="2">
        <v>41155</v>
      </c>
      <c r="D2758" s="1">
        <v>10</v>
      </c>
      <c r="E2758" s="1" t="s">
        <v>42</v>
      </c>
      <c r="F2758" s="1" t="s">
        <v>28</v>
      </c>
      <c r="H2758" s="1" t="s">
        <v>48</v>
      </c>
      <c r="I2758" s="1" t="s">
        <v>12</v>
      </c>
      <c r="J2758" s="1" t="s">
        <v>262</v>
      </c>
      <c r="K2758" s="1" t="s">
        <v>262</v>
      </c>
      <c r="L2758" s="1" t="s">
        <v>12</v>
      </c>
      <c r="M2758" s="1" t="s">
        <v>12</v>
      </c>
      <c r="N2758" s="1">
        <v>27.12</v>
      </c>
      <c r="O2758" s="1" t="s">
        <v>20</v>
      </c>
      <c r="P2758" s="1">
        <v>11</v>
      </c>
      <c r="Q2758" s="1" t="s">
        <v>16</v>
      </c>
      <c r="R2758" s="1" t="str">
        <f>IF(N2758="","",VLOOKUP(N2758,Prior_levels,2,TRUE))</f>
        <v>M</v>
      </c>
    </row>
    <row r="2759" spans="1:18" x14ac:dyDescent="0.2">
      <c r="A2759" s="1" t="s">
        <v>284</v>
      </c>
      <c r="B2759" s="1" t="s">
        <v>10</v>
      </c>
      <c r="C2759" s="2">
        <v>41155</v>
      </c>
      <c r="D2759" s="1">
        <v>10</v>
      </c>
      <c r="E2759" s="1" t="s">
        <v>42</v>
      </c>
      <c r="F2759" s="1" t="s">
        <v>28</v>
      </c>
      <c r="H2759" s="1" t="s">
        <v>48</v>
      </c>
      <c r="I2759" s="1" t="s">
        <v>12</v>
      </c>
      <c r="J2759" s="1" t="s">
        <v>262</v>
      </c>
      <c r="K2759" s="1" t="s">
        <v>262</v>
      </c>
      <c r="L2759" s="1" t="s">
        <v>12</v>
      </c>
      <c r="M2759" s="1" t="s">
        <v>12</v>
      </c>
      <c r="N2759" s="1">
        <v>27.12</v>
      </c>
      <c r="O2759" s="1" t="s">
        <v>21</v>
      </c>
      <c r="P2759" s="1">
        <v>13</v>
      </c>
      <c r="Q2759" s="1" t="s">
        <v>16</v>
      </c>
      <c r="R2759" s="1" t="str">
        <f>IF(N2759="","",VLOOKUP(N2759,Prior_levels,2,TRUE))</f>
        <v>M</v>
      </c>
    </row>
    <row r="2760" spans="1:18" x14ac:dyDescent="0.2">
      <c r="A2760" s="1" t="s">
        <v>284</v>
      </c>
      <c r="B2760" s="1" t="s">
        <v>10</v>
      </c>
      <c r="C2760" s="2">
        <v>41155</v>
      </c>
      <c r="D2760" s="1">
        <v>10</v>
      </c>
      <c r="E2760" s="1" t="s">
        <v>42</v>
      </c>
      <c r="F2760" s="1" t="s">
        <v>28</v>
      </c>
      <c r="H2760" s="1" t="s">
        <v>48</v>
      </c>
      <c r="I2760" s="1" t="s">
        <v>12</v>
      </c>
      <c r="J2760" s="1" t="s">
        <v>262</v>
      </c>
      <c r="K2760" s="1" t="s">
        <v>262</v>
      </c>
      <c r="L2760" s="1" t="s">
        <v>12</v>
      </c>
      <c r="M2760" s="1" t="s">
        <v>12</v>
      </c>
      <c r="N2760" s="1">
        <v>27.12</v>
      </c>
      <c r="O2760" s="1" t="s">
        <v>22</v>
      </c>
      <c r="P2760" s="1">
        <v>-0.05</v>
      </c>
      <c r="Q2760" s="1" t="s">
        <v>16</v>
      </c>
      <c r="R2760" s="1" t="str">
        <f>IF(N2760="","",VLOOKUP(N2760,Prior_levels,2,TRUE))</f>
        <v>M</v>
      </c>
    </row>
    <row r="2761" spans="1:18" x14ac:dyDescent="0.2">
      <c r="A2761" s="1" t="s">
        <v>284</v>
      </c>
      <c r="B2761" s="1" t="s">
        <v>10</v>
      </c>
      <c r="C2761" s="2">
        <v>41155</v>
      </c>
      <c r="D2761" s="1">
        <v>10</v>
      </c>
      <c r="E2761" s="1" t="s">
        <v>42</v>
      </c>
      <c r="F2761" s="1" t="s">
        <v>28</v>
      </c>
      <c r="H2761" s="1" t="s">
        <v>48</v>
      </c>
      <c r="I2761" s="1" t="s">
        <v>12</v>
      </c>
      <c r="J2761" s="1" t="s">
        <v>262</v>
      </c>
      <c r="K2761" s="1" t="s">
        <v>262</v>
      </c>
      <c r="L2761" s="1" t="s">
        <v>12</v>
      </c>
      <c r="M2761" s="1" t="s">
        <v>12</v>
      </c>
      <c r="N2761" s="1">
        <v>27.12</v>
      </c>
      <c r="O2761" s="1" t="s">
        <v>23</v>
      </c>
      <c r="P2761" s="1">
        <v>-0.64</v>
      </c>
      <c r="Q2761" s="1" t="s">
        <v>16</v>
      </c>
      <c r="R2761" s="1" t="str">
        <f>IF(N2761="","",VLOOKUP(N2761,Prior_levels,2,TRUE))</f>
        <v>M</v>
      </c>
    </row>
    <row r="2762" spans="1:18" x14ac:dyDescent="0.2">
      <c r="A2762" s="1" t="s">
        <v>284</v>
      </c>
      <c r="B2762" s="1" t="s">
        <v>10</v>
      </c>
      <c r="C2762" s="2">
        <v>41155</v>
      </c>
      <c r="D2762" s="1">
        <v>10</v>
      </c>
      <c r="E2762" s="1" t="s">
        <v>42</v>
      </c>
      <c r="F2762" s="1" t="s">
        <v>28</v>
      </c>
      <c r="H2762" s="1" t="s">
        <v>48</v>
      </c>
      <c r="I2762" s="1" t="s">
        <v>12</v>
      </c>
      <c r="J2762" s="1" t="s">
        <v>262</v>
      </c>
      <c r="K2762" s="1" t="s">
        <v>262</v>
      </c>
      <c r="L2762" s="1" t="s">
        <v>12</v>
      </c>
      <c r="M2762" s="1" t="s">
        <v>12</v>
      </c>
      <c r="N2762" s="1">
        <v>27.12</v>
      </c>
      <c r="O2762" s="1" t="s">
        <v>25</v>
      </c>
      <c r="P2762" s="1">
        <v>-1.89</v>
      </c>
      <c r="Q2762" s="1" t="s">
        <v>16</v>
      </c>
      <c r="R2762" s="1" t="str">
        <f>IF(N2762="","",VLOOKUP(N2762,Prior_levels,2,TRUE))</f>
        <v>M</v>
      </c>
    </row>
    <row r="2763" spans="1:18" x14ac:dyDescent="0.2">
      <c r="A2763" s="1" t="s">
        <v>284</v>
      </c>
      <c r="B2763" s="1" t="s">
        <v>10</v>
      </c>
      <c r="C2763" s="2">
        <v>41155</v>
      </c>
      <c r="D2763" s="1">
        <v>10</v>
      </c>
      <c r="E2763" s="1" t="s">
        <v>42</v>
      </c>
      <c r="F2763" s="1" t="s">
        <v>28</v>
      </c>
      <c r="H2763" s="1" t="s">
        <v>48</v>
      </c>
      <c r="I2763" s="1" t="s">
        <v>12</v>
      </c>
      <c r="J2763" s="1" t="s">
        <v>262</v>
      </c>
      <c r="K2763" s="1" t="s">
        <v>262</v>
      </c>
      <c r="L2763" s="1" t="s">
        <v>12</v>
      </c>
      <c r="M2763" s="1" t="s">
        <v>12</v>
      </c>
      <c r="N2763" s="1">
        <v>27.12</v>
      </c>
      <c r="O2763" s="1" t="s">
        <v>26</v>
      </c>
      <c r="P2763" s="1">
        <v>6</v>
      </c>
      <c r="Q2763" s="1" t="s">
        <v>16</v>
      </c>
      <c r="R2763" s="1" t="str">
        <f>IF(N2763="","",VLOOKUP(N2763,Prior_levels,2,TRUE))</f>
        <v>M</v>
      </c>
    </row>
    <row r="2764" spans="1:18" x14ac:dyDescent="0.2">
      <c r="A2764" s="1" t="s">
        <v>284</v>
      </c>
      <c r="B2764" s="1" t="s">
        <v>10</v>
      </c>
      <c r="C2764" s="2">
        <v>41155</v>
      </c>
      <c r="D2764" s="1">
        <v>10</v>
      </c>
      <c r="E2764" s="1" t="s">
        <v>42</v>
      </c>
      <c r="F2764" s="1" t="s">
        <v>28</v>
      </c>
      <c r="H2764" s="1" t="s">
        <v>48</v>
      </c>
      <c r="I2764" s="1" t="s">
        <v>12</v>
      </c>
      <c r="J2764" s="1" t="s">
        <v>262</v>
      </c>
      <c r="K2764" s="1" t="s">
        <v>262</v>
      </c>
      <c r="L2764" s="1" t="s">
        <v>12</v>
      </c>
      <c r="M2764" s="1" t="s">
        <v>12</v>
      </c>
      <c r="N2764" s="1">
        <v>27.12</v>
      </c>
      <c r="O2764" s="1" t="s">
        <v>24</v>
      </c>
      <c r="P2764" s="1">
        <v>-0.25</v>
      </c>
      <c r="Q2764" s="1" t="s">
        <v>16</v>
      </c>
      <c r="R2764" s="1" t="str">
        <f>IF(N2764="","",VLOOKUP(N2764,Prior_levels,2,TRUE))</f>
        <v>M</v>
      </c>
    </row>
    <row r="2765" spans="1:18" x14ac:dyDescent="0.2">
      <c r="A2765" s="1" t="s">
        <v>284</v>
      </c>
      <c r="B2765" s="1" t="s">
        <v>10</v>
      </c>
      <c r="C2765" s="2">
        <v>41155</v>
      </c>
      <c r="D2765" s="1">
        <v>10</v>
      </c>
      <c r="E2765" s="1" t="s">
        <v>42</v>
      </c>
      <c r="F2765" s="1" t="s">
        <v>28</v>
      </c>
      <c r="H2765" s="1" t="s">
        <v>48</v>
      </c>
      <c r="I2765" s="1" t="s">
        <v>12</v>
      </c>
      <c r="J2765" s="1" t="s">
        <v>262</v>
      </c>
      <c r="K2765" s="1" t="s">
        <v>262</v>
      </c>
      <c r="L2765" s="1" t="s">
        <v>12</v>
      </c>
      <c r="M2765" s="1" t="s">
        <v>12</v>
      </c>
      <c r="N2765" s="1">
        <v>27.12</v>
      </c>
      <c r="O2765" s="1" t="s">
        <v>27</v>
      </c>
      <c r="P2765" s="1" t="s">
        <v>28</v>
      </c>
      <c r="Q2765" s="1" t="s">
        <v>16</v>
      </c>
      <c r="R2765" s="1" t="str">
        <f>IF(N2765="","",VLOOKUP(N2765,Prior_levels,2,TRUE))</f>
        <v>M</v>
      </c>
    </row>
    <row r="2766" spans="1:18" x14ac:dyDescent="0.2">
      <c r="A2766" s="1" t="s">
        <v>284</v>
      </c>
      <c r="B2766" s="1" t="s">
        <v>10</v>
      </c>
      <c r="C2766" s="2">
        <v>41155</v>
      </c>
      <c r="D2766" s="1">
        <v>10</v>
      </c>
      <c r="E2766" s="1" t="s">
        <v>42</v>
      </c>
      <c r="F2766" s="1" t="s">
        <v>28</v>
      </c>
      <c r="H2766" s="1" t="s">
        <v>48</v>
      </c>
      <c r="I2766" s="1" t="s">
        <v>12</v>
      </c>
      <c r="J2766" s="1" t="s">
        <v>262</v>
      </c>
      <c r="K2766" s="1" t="s">
        <v>262</v>
      </c>
      <c r="L2766" s="1" t="s">
        <v>12</v>
      </c>
      <c r="M2766" s="1" t="s">
        <v>12</v>
      </c>
      <c r="N2766" s="1">
        <v>27.12</v>
      </c>
      <c r="O2766" s="1" t="s">
        <v>29</v>
      </c>
      <c r="P2766" s="1" t="s">
        <v>37</v>
      </c>
      <c r="Q2766" s="1" t="s">
        <v>16</v>
      </c>
      <c r="R2766" s="1" t="str">
        <f>IF(N2766="","",VLOOKUP(N2766,Prior_levels,2,TRUE))</f>
        <v>M</v>
      </c>
    </row>
    <row r="2767" spans="1:18" x14ac:dyDescent="0.2">
      <c r="A2767" s="1" t="s">
        <v>284</v>
      </c>
      <c r="B2767" s="1" t="s">
        <v>10</v>
      </c>
      <c r="C2767" s="2">
        <v>41155</v>
      </c>
      <c r="D2767" s="1">
        <v>10</v>
      </c>
      <c r="E2767" s="1" t="s">
        <v>42</v>
      </c>
      <c r="F2767" s="1" t="s">
        <v>28</v>
      </c>
      <c r="H2767" s="1" t="s">
        <v>48</v>
      </c>
      <c r="I2767" s="1" t="s">
        <v>12</v>
      </c>
      <c r="J2767" s="1" t="s">
        <v>262</v>
      </c>
      <c r="K2767" s="1" t="s">
        <v>262</v>
      </c>
      <c r="L2767" s="1" t="s">
        <v>12</v>
      </c>
      <c r="M2767" s="1" t="s">
        <v>12</v>
      </c>
      <c r="N2767" s="1">
        <v>27.12</v>
      </c>
      <c r="O2767" s="1" t="s">
        <v>30</v>
      </c>
      <c r="P2767" s="1" t="s">
        <v>28</v>
      </c>
      <c r="Q2767" s="1" t="s">
        <v>16</v>
      </c>
      <c r="R2767" s="1" t="str">
        <f>IF(N2767="","",VLOOKUP(N2767,Prior_levels,2,TRUE))</f>
        <v>M</v>
      </c>
    </row>
    <row r="2768" spans="1:18" x14ac:dyDescent="0.2">
      <c r="A2768" s="1" t="s">
        <v>284</v>
      </c>
      <c r="B2768" s="1" t="s">
        <v>10</v>
      </c>
      <c r="C2768" s="2">
        <v>41155</v>
      </c>
      <c r="D2768" s="1">
        <v>10</v>
      </c>
      <c r="E2768" s="1" t="s">
        <v>42</v>
      </c>
      <c r="F2768" s="1" t="s">
        <v>28</v>
      </c>
      <c r="H2768" s="1" t="s">
        <v>48</v>
      </c>
      <c r="I2768" s="1" t="s">
        <v>12</v>
      </c>
      <c r="J2768" s="1" t="s">
        <v>262</v>
      </c>
      <c r="K2768" s="1" t="s">
        <v>262</v>
      </c>
      <c r="L2768" s="1" t="s">
        <v>12</v>
      </c>
      <c r="M2768" s="1" t="s">
        <v>12</v>
      </c>
      <c r="N2768" s="1">
        <v>27.12</v>
      </c>
      <c r="O2768" s="1" t="s">
        <v>31</v>
      </c>
      <c r="P2768" s="1" t="s">
        <v>28</v>
      </c>
      <c r="Q2768" s="1" t="s">
        <v>16</v>
      </c>
      <c r="R2768" s="1" t="str">
        <f>IF(N2768="","",VLOOKUP(N2768,Prior_levels,2,TRUE))</f>
        <v>M</v>
      </c>
    </row>
    <row r="2769" spans="1:18" x14ac:dyDescent="0.2">
      <c r="A2769" s="1" t="s">
        <v>284</v>
      </c>
      <c r="B2769" s="1" t="s">
        <v>10</v>
      </c>
      <c r="C2769" s="2">
        <v>41155</v>
      </c>
      <c r="D2769" s="1">
        <v>10</v>
      </c>
      <c r="E2769" s="1" t="s">
        <v>42</v>
      </c>
      <c r="F2769" s="1" t="s">
        <v>28</v>
      </c>
      <c r="H2769" s="1" t="s">
        <v>48</v>
      </c>
      <c r="I2769" s="1" t="s">
        <v>12</v>
      </c>
      <c r="J2769" s="1" t="s">
        <v>262</v>
      </c>
      <c r="K2769" s="1" t="s">
        <v>262</v>
      </c>
      <c r="L2769" s="1" t="s">
        <v>12</v>
      </c>
      <c r="M2769" s="1" t="s">
        <v>12</v>
      </c>
      <c r="N2769" s="1">
        <v>27.12</v>
      </c>
      <c r="O2769" s="1" t="s">
        <v>32</v>
      </c>
      <c r="P2769" s="1" t="s">
        <v>28</v>
      </c>
      <c r="Q2769" s="1" t="s">
        <v>16</v>
      </c>
      <c r="R2769" s="1" t="str">
        <f>IF(N2769="","",VLOOKUP(N2769,Prior_levels,2,TRUE))</f>
        <v>M</v>
      </c>
    </row>
    <row r="2770" spans="1:18" x14ac:dyDescent="0.2">
      <c r="A2770" s="1" t="s">
        <v>285</v>
      </c>
      <c r="B2770" s="1" t="s">
        <v>10</v>
      </c>
      <c r="C2770" s="2">
        <v>41155</v>
      </c>
      <c r="D2770" s="1">
        <v>10</v>
      </c>
      <c r="E2770" s="1" t="s">
        <v>34</v>
      </c>
      <c r="H2770" s="1" t="s">
        <v>54</v>
      </c>
      <c r="I2770" s="1" t="s">
        <v>12</v>
      </c>
      <c r="J2770" s="1" t="s">
        <v>286</v>
      </c>
      <c r="K2770" s="1" t="s">
        <v>14</v>
      </c>
      <c r="L2770" s="1" t="s">
        <v>12</v>
      </c>
      <c r="M2770" s="1" t="s">
        <v>12</v>
      </c>
      <c r="N2770" s="1">
        <v>30.18</v>
      </c>
      <c r="O2770" s="1" t="s">
        <v>15</v>
      </c>
      <c r="P2770" s="1">
        <v>5.75</v>
      </c>
      <c r="Q2770" s="1" t="s">
        <v>16</v>
      </c>
      <c r="R2770" s="1" t="str">
        <f>IF(N2770="","",VLOOKUP(N2770,Prior_levels,2,TRUE))</f>
        <v>H</v>
      </c>
    </row>
    <row r="2771" spans="1:18" x14ac:dyDescent="0.2">
      <c r="A2771" s="1" t="s">
        <v>285</v>
      </c>
      <c r="B2771" s="1" t="s">
        <v>10</v>
      </c>
      <c r="C2771" s="2">
        <v>41155</v>
      </c>
      <c r="D2771" s="1">
        <v>10</v>
      </c>
      <c r="E2771" s="1" t="s">
        <v>34</v>
      </c>
      <c r="H2771" s="1" t="s">
        <v>54</v>
      </c>
      <c r="I2771" s="1" t="s">
        <v>12</v>
      </c>
      <c r="J2771" s="1" t="s">
        <v>286</v>
      </c>
      <c r="K2771" s="1" t="s">
        <v>14</v>
      </c>
      <c r="L2771" s="1" t="s">
        <v>12</v>
      </c>
      <c r="M2771" s="1" t="s">
        <v>12</v>
      </c>
      <c r="N2771" s="1">
        <v>30.18</v>
      </c>
      <c r="O2771" s="1" t="s">
        <v>17</v>
      </c>
      <c r="P2771" s="1">
        <v>0.16</v>
      </c>
      <c r="Q2771" s="1" t="s">
        <v>16</v>
      </c>
      <c r="R2771" s="1" t="str">
        <f>IF(N2771="","",VLOOKUP(N2771,Prior_levels,2,TRUE))</f>
        <v>H</v>
      </c>
    </row>
    <row r="2772" spans="1:18" x14ac:dyDescent="0.2">
      <c r="A2772" s="1" t="s">
        <v>285</v>
      </c>
      <c r="B2772" s="1" t="s">
        <v>10</v>
      </c>
      <c r="C2772" s="2">
        <v>41155</v>
      </c>
      <c r="D2772" s="1">
        <v>10</v>
      </c>
      <c r="E2772" s="1" t="s">
        <v>34</v>
      </c>
      <c r="H2772" s="1" t="s">
        <v>54</v>
      </c>
      <c r="I2772" s="1" t="s">
        <v>12</v>
      </c>
      <c r="J2772" s="1" t="s">
        <v>286</v>
      </c>
      <c r="K2772" s="1" t="s">
        <v>14</v>
      </c>
      <c r="L2772" s="1" t="s">
        <v>12</v>
      </c>
      <c r="M2772" s="1" t="s">
        <v>12</v>
      </c>
      <c r="N2772" s="1">
        <v>30.18</v>
      </c>
      <c r="O2772" s="1" t="s">
        <v>18</v>
      </c>
      <c r="P2772" s="1">
        <v>12</v>
      </c>
      <c r="Q2772" s="1" t="s">
        <v>16</v>
      </c>
      <c r="R2772" s="1" t="str">
        <f>IF(N2772="","",VLOOKUP(N2772,Prior_levels,2,TRUE))</f>
        <v>H</v>
      </c>
    </row>
    <row r="2773" spans="1:18" x14ac:dyDescent="0.2">
      <c r="A2773" s="1" t="s">
        <v>285</v>
      </c>
      <c r="B2773" s="1" t="s">
        <v>10</v>
      </c>
      <c r="C2773" s="2">
        <v>41155</v>
      </c>
      <c r="D2773" s="1">
        <v>10</v>
      </c>
      <c r="E2773" s="1" t="s">
        <v>34</v>
      </c>
      <c r="H2773" s="1" t="s">
        <v>54</v>
      </c>
      <c r="I2773" s="1" t="s">
        <v>12</v>
      </c>
      <c r="J2773" s="1" t="s">
        <v>286</v>
      </c>
      <c r="K2773" s="1" t="s">
        <v>14</v>
      </c>
      <c r="L2773" s="1" t="s">
        <v>12</v>
      </c>
      <c r="M2773" s="1" t="s">
        <v>12</v>
      </c>
      <c r="N2773" s="1">
        <v>30.18</v>
      </c>
      <c r="O2773" s="1" t="s">
        <v>19</v>
      </c>
      <c r="P2773" s="1">
        <v>12</v>
      </c>
      <c r="Q2773" s="1" t="s">
        <v>16</v>
      </c>
      <c r="R2773" s="1" t="str">
        <f>IF(N2773="","",VLOOKUP(N2773,Prior_levels,2,TRUE))</f>
        <v>H</v>
      </c>
    </row>
    <row r="2774" spans="1:18" x14ac:dyDescent="0.2">
      <c r="A2774" s="1" t="s">
        <v>285</v>
      </c>
      <c r="B2774" s="1" t="s">
        <v>10</v>
      </c>
      <c r="C2774" s="2">
        <v>41155</v>
      </c>
      <c r="D2774" s="1">
        <v>10</v>
      </c>
      <c r="E2774" s="1" t="s">
        <v>34</v>
      </c>
      <c r="H2774" s="1" t="s">
        <v>54</v>
      </c>
      <c r="I2774" s="1" t="s">
        <v>12</v>
      </c>
      <c r="J2774" s="1" t="s">
        <v>286</v>
      </c>
      <c r="K2774" s="1" t="s">
        <v>14</v>
      </c>
      <c r="L2774" s="1" t="s">
        <v>12</v>
      </c>
      <c r="M2774" s="1" t="s">
        <v>12</v>
      </c>
      <c r="N2774" s="1">
        <v>30.18</v>
      </c>
      <c r="O2774" s="1" t="s">
        <v>20</v>
      </c>
      <c r="P2774" s="1">
        <v>16.5</v>
      </c>
      <c r="Q2774" s="1" t="s">
        <v>16</v>
      </c>
      <c r="R2774" s="1" t="str">
        <f>IF(N2774="","",VLOOKUP(N2774,Prior_levels,2,TRUE))</f>
        <v>H</v>
      </c>
    </row>
    <row r="2775" spans="1:18" x14ac:dyDescent="0.2">
      <c r="A2775" s="1" t="s">
        <v>285</v>
      </c>
      <c r="B2775" s="1" t="s">
        <v>10</v>
      </c>
      <c r="C2775" s="2">
        <v>41155</v>
      </c>
      <c r="D2775" s="1">
        <v>10</v>
      </c>
      <c r="E2775" s="1" t="s">
        <v>34</v>
      </c>
      <c r="H2775" s="1" t="s">
        <v>54</v>
      </c>
      <c r="I2775" s="1" t="s">
        <v>12</v>
      </c>
      <c r="J2775" s="1" t="s">
        <v>286</v>
      </c>
      <c r="K2775" s="1" t="s">
        <v>14</v>
      </c>
      <c r="L2775" s="1" t="s">
        <v>12</v>
      </c>
      <c r="M2775" s="1" t="s">
        <v>12</v>
      </c>
      <c r="N2775" s="1">
        <v>30.18</v>
      </c>
      <c r="O2775" s="1" t="s">
        <v>21</v>
      </c>
      <c r="P2775" s="1">
        <v>17</v>
      </c>
      <c r="Q2775" s="1" t="s">
        <v>16</v>
      </c>
      <c r="R2775" s="1" t="str">
        <f>IF(N2775="","",VLOOKUP(N2775,Prior_levels,2,TRUE))</f>
        <v>H</v>
      </c>
    </row>
    <row r="2776" spans="1:18" x14ac:dyDescent="0.2">
      <c r="A2776" s="1" t="s">
        <v>285</v>
      </c>
      <c r="B2776" s="1" t="s">
        <v>10</v>
      </c>
      <c r="C2776" s="2">
        <v>41155</v>
      </c>
      <c r="D2776" s="1">
        <v>10</v>
      </c>
      <c r="E2776" s="1" t="s">
        <v>34</v>
      </c>
      <c r="H2776" s="1" t="s">
        <v>54</v>
      </c>
      <c r="I2776" s="1" t="s">
        <v>12</v>
      </c>
      <c r="J2776" s="1" t="s">
        <v>286</v>
      </c>
      <c r="K2776" s="1" t="s">
        <v>14</v>
      </c>
      <c r="L2776" s="1" t="s">
        <v>12</v>
      </c>
      <c r="M2776" s="1" t="s">
        <v>12</v>
      </c>
      <c r="N2776" s="1">
        <v>30.18</v>
      </c>
      <c r="O2776" s="1" t="s">
        <v>22</v>
      </c>
      <c r="P2776" s="1">
        <v>0.15</v>
      </c>
      <c r="Q2776" s="1" t="s">
        <v>16</v>
      </c>
      <c r="R2776" s="1" t="str">
        <f>IF(N2776="","",VLOOKUP(N2776,Prior_levels,2,TRUE))</f>
        <v>H</v>
      </c>
    </row>
    <row r="2777" spans="1:18" x14ac:dyDescent="0.2">
      <c r="A2777" s="1" t="s">
        <v>285</v>
      </c>
      <c r="B2777" s="1" t="s">
        <v>10</v>
      </c>
      <c r="C2777" s="2">
        <v>41155</v>
      </c>
      <c r="D2777" s="1">
        <v>10</v>
      </c>
      <c r="E2777" s="1" t="s">
        <v>34</v>
      </c>
      <c r="H2777" s="1" t="s">
        <v>54</v>
      </c>
      <c r="I2777" s="1" t="s">
        <v>12</v>
      </c>
      <c r="J2777" s="1" t="s">
        <v>286</v>
      </c>
      <c r="K2777" s="1" t="s">
        <v>14</v>
      </c>
      <c r="L2777" s="1" t="s">
        <v>12</v>
      </c>
      <c r="M2777" s="1" t="s">
        <v>12</v>
      </c>
      <c r="N2777" s="1">
        <v>30.18</v>
      </c>
      <c r="O2777" s="1" t="s">
        <v>23</v>
      </c>
      <c r="P2777" s="1">
        <v>0.37</v>
      </c>
      <c r="Q2777" s="1" t="s">
        <v>16</v>
      </c>
      <c r="R2777" s="1" t="str">
        <f>IF(N2777="","",VLOOKUP(N2777,Prior_levels,2,TRUE))</f>
        <v>H</v>
      </c>
    </row>
    <row r="2778" spans="1:18" x14ac:dyDescent="0.2">
      <c r="A2778" s="1" t="s">
        <v>285</v>
      </c>
      <c r="B2778" s="1" t="s">
        <v>10</v>
      </c>
      <c r="C2778" s="2">
        <v>41155</v>
      </c>
      <c r="D2778" s="1">
        <v>10</v>
      </c>
      <c r="E2778" s="1" t="s">
        <v>34</v>
      </c>
      <c r="H2778" s="1" t="s">
        <v>54</v>
      </c>
      <c r="I2778" s="1" t="s">
        <v>12</v>
      </c>
      <c r="J2778" s="1" t="s">
        <v>286</v>
      </c>
      <c r="K2778" s="1" t="s">
        <v>14</v>
      </c>
      <c r="L2778" s="1" t="s">
        <v>12</v>
      </c>
      <c r="M2778" s="1" t="s">
        <v>12</v>
      </c>
      <c r="N2778" s="1">
        <v>30.18</v>
      </c>
      <c r="O2778" s="1" t="s">
        <v>24</v>
      </c>
      <c r="P2778" s="1">
        <v>0.79</v>
      </c>
      <c r="Q2778" s="1" t="s">
        <v>16</v>
      </c>
      <c r="R2778" s="1" t="str">
        <f>IF(N2778="","",VLOOKUP(N2778,Prior_levels,2,TRUE))</f>
        <v>H</v>
      </c>
    </row>
    <row r="2779" spans="1:18" x14ac:dyDescent="0.2">
      <c r="A2779" s="1" t="s">
        <v>285</v>
      </c>
      <c r="B2779" s="1" t="s">
        <v>10</v>
      </c>
      <c r="C2779" s="2">
        <v>41155</v>
      </c>
      <c r="D2779" s="1">
        <v>10</v>
      </c>
      <c r="E2779" s="1" t="s">
        <v>34</v>
      </c>
      <c r="H2779" s="1" t="s">
        <v>54</v>
      </c>
      <c r="I2779" s="1" t="s">
        <v>12</v>
      </c>
      <c r="J2779" s="1" t="s">
        <v>286</v>
      </c>
      <c r="K2779" s="1" t="s">
        <v>14</v>
      </c>
      <c r="L2779" s="1" t="s">
        <v>12</v>
      </c>
      <c r="M2779" s="1" t="s">
        <v>12</v>
      </c>
      <c r="N2779" s="1">
        <v>30.18</v>
      </c>
      <c r="O2779" s="1" t="s">
        <v>25</v>
      </c>
      <c r="P2779" s="1">
        <v>-0.21</v>
      </c>
      <c r="Q2779" s="1" t="s">
        <v>16</v>
      </c>
      <c r="R2779" s="1" t="str">
        <f>IF(N2779="","",VLOOKUP(N2779,Prior_levels,2,TRUE))</f>
        <v>H</v>
      </c>
    </row>
    <row r="2780" spans="1:18" x14ac:dyDescent="0.2">
      <c r="A2780" s="1" t="s">
        <v>285</v>
      </c>
      <c r="B2780" s="1" t="s">
        <v>10</v>
      </c>
      <c r="C2780" s="2">
        <v>41155</v>
      </c>
      <c r="D2780" s="1">
        <v>10</v>
      </c>
      <c r="E2780" s="1" t="s">
        <v>34</v>
      </c>
      <c r="H2780" s="1" t="s">
        <v>54</v>
      </c>
      <c r="I2780" s="1" t="s">
        <v>12</v>
      </c>
      <c r="J2780" s="1" t="s">
        <v>286</v>
      </c>
      <c r="K2780" s="1" t="s">
        <v>14</v>
      </c>
      <c r="L2780" s="1" t="s">
        <v>12</v>
      </c>
      <c r="M2780" s="1" t="s">
        <v>12</v>
      </c>
      <c r="N2780" s="1">
        <v>30.18</v>
      </c>
      <c r="O2780" s="1" t="s">
        <v>26</v>
      </c>
      <c r="P2780" s="1">
        <v>12</v>
      </c>
      <c r="Q2780" s="1" t="s">
        <v>16</v>
      </c>
      <c r="R2780" s="1" t="str">
        <f>IF(N2780="","",VLOOKUP(N2780,Prior_levels,2,TRUE))</f>
        <v>H</v>
      </c>
    </row>
    <row r="2781" spans="1:18" x14ac:dyDescent="0.2">
      <c r="A2781" s="1" t="s">
        <v>285</v>
      </c>
      <c r="B2781" s="1" t="s">
        <v>10</v>
      </c>
      <c r="C2781" s="2">
        <v>41155</v>
      </c>
      <c r="D2781" s="1">
        <v>10</v>
      </c>
      <c r="E2781" s="1" t="s">
        <v>34</v>
      </c>
      <c r="H2781" s="1" t="s">
        <v>54</v>
      </c>
      <c r="I2781" s="1" t="s">
        <v>12</v>
      </c>
      <c r="J2781" s="1" t="s">
        <v>286</v>
      </c>
      <c r="K2781" s="1" t="s">
        <v>14</v>
      </c>
      <c r="L2781" s="1" t="s">
        <v>12</v>
      </c>
      <c r="M2781" s="1" t="s">
        <v>12</v>
      </c>
      <c r="N2781" s="1">
        <v>30.18</v>
      </c>
      <c r="O2781" s="1" t="s">
        <v>27</v>
      </c>
      <c r="P2781" s="1" t="s">
        <v>37</v>
      </c>
      <c r="Q2781" s="1" t="s">
        <v>16</v>
      </c>
      <c r="R2781" s="1" t="str">
        <f>IF(N2781="","",VLOOKUP(N2781,Prior_levels,2,TRUE))</f>
        <v>H</v>
      </c>
    </row>
    <row r="2782" spans="1:18" x14ac:dyDescent="0.2">
      <c r="A2782" s="1" t="s">
        <v>285</v>
      </c>
      <c r="B2782" s="1" t="s">
        <v>10</v>
      </c>
      <c r="C2782" s="2">
        <v>41155</v>
      </c>
      <c r="D2782" s="1">
        <v>10</v>
      </c>
      <c r="E2782" s="1" t="s">
        <v>34</v>
      </c>
      <c r="H2782" s="1" t="s">
        <v>54</v>
      </c>
      <c r="I2782" s="1" t="s">
        <v>12</v>
      </c>
      <c r="J2782" s="1" t="s">
        <v>286</v>
      </c>
      <c r="K2782" s="1" t="s">
        <v>14</v>
      </c>
      <c r="L2782" s="1" t="s">
        <v>12</v>
      </c>
      <c r="M2782" s="1" t="s">
        <v>12</v>
      </c>
      <c r="N2782" s="1">
        <v>30.18</v>
      </c>
      <c r="O2782" s="1" t="s">
        <v>29</v>
      </c>
      <c r="P2782" s="1" t="s">
        <v>37</v>
      </c>
      <c r="Q2782" s="1" t="s">
        <v>16</v>
      </c>
      <c r="R2782" s="1" t="str">
        <f>IF(N2782="","",VLOOKUP(N2782,Prior_levels,2,TRUE))</f>
        <v>H</v>
      </c>
    </row>
    <row r="2783" spans="1:18" x14ac:dyDescent="0.2">
      <c r="A2783" s="1" t="s">
        <v>285</v>
      </c>
      <c r="B2783" s="1" t="s">
        <v>10</v>
      </c>
      <c r="C2783" s="2">
        <v>41155</v>
      </c>
      <c r="D2783" s="1">
        <v>10</v>
      </c>
      <c r="E2783" s="1" t="s">
        <v>34</v>
      </c>
      <c r="H2783" s="1" t="s">
        <v>54</v>
      </c>
      <c r="I2783" s="1" t="s">
        <v>12</v>
      </c>
      <c r="J2783" s="1" t="s">
        <v>286</v>
      </c>
      <c r="K2783" s="1" t="s">
        <v>14</v>
      </c>
      <c r="L2783" s="1" t="s">
        <v>12</v>
      </c>
      <c r="M2783" s="1" t="s">
        <v>12</v>
      </c>
      <c r="N2783" s="1">
        <v>30.18</v>
      </c>
      <c r="O2783" s="1" t="s">
        <v>30</v>
      </c>
      <c r="P2783" s="1" t="s">
        <v>37</v>
      </c>
      <c r="Q2783" s="1" t="s">
        <v>16</v>
      </c>
      <c r="R2783" s="1" t="str">
        <f>IF(N2783="","",VLOOKUP(N2783,Prior_levels,2,TRUE))</f>
        <v>H</v>
      </c>
    </row>
    <row r="2784" spans="1:18" x14ac:dyDescent="0.2">
      <c r="A2784" s="1" t="s">
        <v>285</v>
      </c>
      <c r="B2784" s="1" t="s">
        <v>10</v>
      </c>
      <c r="C2784" s="2">
        <v>41155</v>
      </c>
      <c r="D2784" s="1">
        <v>10</v>
      </c>
      <c r="E2784" s="1" t="s">
        <v>34</v>
      </c>
      <c r="H2784" s="1" t="s">
        <v>54</v>
      </c>
      <c r="I2784" s="1" t="s">
        <v>12</v>
      </c>
      <c r="J2784" s="1" t="s">
        <v>286</v>
      </c>
      <c r="K2784" s="1" t="s">
        <v>14</v>
      </c>
      <c r="L2784" s="1" t="s">
        <v>12</v>
      </c>
      <c r="M2784" s="1" t="s">
        <v>12</v>
      </c>
      <c r="N2784" s="1">
        <v>30.18</v>
      </c>
      <c r="O2784" s="1" t="s">
        <v>31</v>
      </c>
      <c r="P2784" s="1" t="s">
        <v>37</v>
      </c>
      <c r="Q2784" s="1" t="s">
        <v>16</v>
      </c>
      <c r="R2784" s="1" t="str">
        <f>IF(N2784="","",VLOOKUP(N2784,Prior_levels,2,TRUE))</f>
        <v>H</v>
      </c>
    </row>
    <row r="2785" spans="1:18" x14ac:dyDescent="0.2">
      <c r="A2785" s="1" t="s">
        <v>285</v>
      </c>
      <c r="B2785" s="1" t="s">
        <v>10</v>
      </c>
      <c r="C2785" s="2">
        <v>41155</v>
      </c>
      <c r="D2785" s="1">
        <v>10</v>
      </c>
      <c r="E2785" s="1" t="s">
        <v>34</v>
      </c>
      <c r="H2785" s="1" t="s">
        <v>54</v>
      </c>
      <c r="I2785" s="1" t="s">
        <v>12</v>
      </c>
      <c r="J2785" s="1" t="s">
        <v>286</v>
      </c>
      <c r="K2785" s="1" t="s">
        <v>14</v>
      </c>
      <c r="L2785" s="1" t="s">
        <v>12</v>
      </c>
      <c r="M2785" s="1" t="s">
        <v>12</v>
      </c>
      <c r="N2785" s="1">
        <v>30.18</v>
      </c>
      <c r="O2785" s="1" t="s">
        <v>32</v>
      </c>
      <c r="P2785" s="1" t="s">
        <v>37</v>
      </c>
      <c r="Q2785" s="1" t="s">
        <v>16</v>
      </c>
      <c r="R2785" s="1" t="str">
        <f>IF(N2785="","",VLOOKUP(N2785,Prior_levels,2,TRUE))</f>
        <v>H</v>
      </c>
    </row>
  </sheetData>
  <autoFilter ref="V2:V60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54</vt:i4>
      </vt:variant>
    </vt:vector>
  </HeadingPairs>
  <TitlesOfParts>
    <vt:vector size="57" baseType="lpstr">
      <vt:lpstr>analysis</vt:lpstr>
      <vt:lpstr>workings</vt:lpstr>
      <vt:lpstr>student data</vt:lpstr>
      <vt:lpstr>Attainment_8_grades</vt:lpstr>
      <vt:lpstr>analysis!DOA</vt:lpstr>
      <vt:lpstr>workings!DOA</vt:lpstr>
      <vt:lpstr>DOA</vt:lpstr>
      <vt:lpstr>analysis!EAL</vt:lpstr>
      <vt:lpstr>workings!EAL</vt:lpstr>
      <vt:lpstr>EAL</vt:lpstr>
      <vt:lpstr>analysis!Ethnicity</vt:lpstr>
      <vt:lpstr>workings!Ethnicity</vt:lpstr>
      <vt:lpstr>Ethnicity</vt:lpstr>
      <vt:lpstr>'student data'!Extract</vt:lpstr>
      <vt:lpstr>analysis!FSM_6</vt:lpstr>
      <vt:lpstr>workings!FSM_6</vt:lpstr>
      <vt:lpstr>FSM_6</vt:lpstr>
      <vt:lpstr>GCSEGrade_Converter</vt:lpstr>
      <vt:lpstr>analysis!Gender</vt:lpstr>
      <vt:lpstr>workings!Gender</vt:lpstr>
      <vt:lpstr>Gender</vt:lpstr>
      <vt:lpstr>Grade_Equivs</vt:lpstr>
      <vt:lpstr>analysis!InCare</vt:lpstr>
      <vt:lpstr>workings!InCare</vt:lpstr>
      <vt:lpstr>InCare</vt:lpstr>
      <vt:lpstr>analysis!KS2_APS</vt:lpstr>
      <vt:lpstr>workings!KS2_APS</vt:lpstr>
      <vt:lpstr>KS2_APS</vt:lpstr>
      <vt:lpstr>analysis!measure</vt:lpstr>
      <vt:lpstr>workings!measure</vt:lpstr>
      <vt:lpstr>measure</vt:lpstr>
      <vt:lpstr>analysis!Names</vt:lpstr>
      <vt:lpstr>workings!Names</vt:lpstr>
      <vt:lpstr>Names</vt:lpstr>
      <vt:lpstr>analysis!New_Result_set</vt:lpstr>
      <vt:lpstr>workings!New_Result_set</vt:lpstr>
      <vt:lpstr>analysis!newlist</vt:lpstr>
      <vt:lpstr>workings!newlist</vt:lpstr>
      <vt:lpstr>analysis!Prior_attainment</vt:lpstr>
      <vt:lpstr>workings!Prior_attainment</vt:lpstr>
      <vt:lpstr>Prior_attainment</vt:lpstr>
      <vt:lpstr>Prior_levels</vt:lpstr>
      <vt:lpstr>analysis!Pupil_Premium</vt:lpstr>
      <vt:lpstr>workings!Pupil_Premium</vt:lpstr>
      <vt:lpstr>Pupil_Premium</vt:lpstr>
      <vt:lpstr>analysis!Result</vt:lpstr>
      <vt:lpstr>workings!Result</vt:lpstr>
      <vt:lpstr>Result</vt:lpstr>
      <vt:lpstr>analysis!Result_set</vt:lpstr>
      <vt:lpstr>workings!Result_set</vt:lpstr>
      <vt:lpstr>Result_set</vt:lpstr>
      <vt:lpstr>analysis!SEN</vt:lpstr>
      <vt:lpstr>workings!SEN</vt:lpstr>
      <vt:lpstr>SEN</vt:lpstr>
      <vt:lpstr>analysis!table</vt:lpstr>
      <vt:lpstr>workings!table</vt:lpstr>
      <vt:lpstr>table</vt:lpstr>
    </vt:vector>
  </TitlesOfParts>
  <Company>Capita Business Services Ltd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Christian</dc:creator>
  <cp:lastModifiedBy>John Christian</cp:lastModifiedBy>
  <dcterms:created xsi:type="dcterms:W3CDTF">2016-01-25T19:24:48Z</dcterms:created>
  <dcterms:modified xsi:type="dcterms:W3CDTF">2016-01-25T19:25:27Z</dcterms:modified>
</cp:coreProperties>
</file>